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21840" windowHeight="12075" activeTab="5"/>
  </bookViews>
  <sheets>
    <sheet name="ფსიქიატრია ამბ" sheetId="1" r:id="rId1"/>
    <sheet name="ამბულატორია" sheetId="2" r:id="rId2"/>
    <sheet name="ფსიქოსოციალური" sheetId="4" r:id="rId3"/>
    <sheet name="კრიზისული" sheetId="5" r:id="rId4"/>
    <sheet name="თემზე დაფუძნებ. მობილ" sheetId="6" r:id="rId5"/>
    <sheet name="ბიუჯეტი 2017" sheetId="3" r:id="rId6"/>
    <sheet name="სტაციონარი" sheetId="7" r:id="rId7"/>
  </sheets>
  <calcPr calcId="145621"/>
</workbook>
</file>

<file path=xl/calcChain.xml><?xml version="1.0" encoding="utf-8"?>
<calcChain xmlns="http://schemas.openxmlformats.org/spreadsheetml/2006/main">
  <c r="C13" i="3" l="1"/>
  <c r="C15" i="3" s="1"/>
  <c r="E3" i="7" l="1"/>
  <c r="E2" i="7"/>
  <c r="G17" i="7"/>
  <c r="F17" i="7"/>
  <c r="E17" i="7"/>
  <c r="D23" i="7"/>
  <c r="C23" i="7"/>
  <c r="B23" i="7"/>
  <c r="C14" i="7"/>
  <c r="B14" i="7"/>
  <c r="G13" i="7"/>
  <c r="F13" i="7"/>
  <c r="E13" i="7"/>
  <c r="G12" i="7"/>
  <c r="F12" i="7"/>
  <c r="E12" i="7"/>
  <c r="G11" i="7"/>
  <c r="F11" i="7"/>
  <c r="E11" i="7"/>
  <c r="G10" i="7"/>
  <c r="F10" i="7"/>
  <c r="E10" i="7"/>
  <c r="G9" i="7"/>
  <c r="F9" i="7"/>
  <c r="E9" i="7"/>
  <c r="G8" i="7"/>
  <c r="F8" i="7"/>
  <c r="E8" i="7"/>
  <c r="G7" i="7"/>
  <c r="F7" i="7"/>
  <c r="E7" i="7"/>
  <c r="G6" i="7"/>
  <c r="F6" i="7"/>
  <c r="E6" i="7"/>
  <c r="G5" i="7"/>
  <c r="F5" i="7"/>
  <c r="E5" i="7"/>
  <c r="G4" i="7"/>
  <c r="F4" i="7"/>
  <c r="E4" i="7"/>
  <c r="G3" i="7"/>
  <c r="F3" i="7"/>
  <c r="G2" i="7"/>
  <c r="G15" i="7" s="1"/>
  <c r="G16" i="7" s="1"/>
  <c r="D24" i="7" s="1"/>
  <c r="F2" i="7"/>
  <c r="F15" i="7" s="1"/>
  <c r="F16" i="7" s="1"/>
  <c r="C24" i="7" s="1"/>
  <c r="E15" i="7"/>
  <c r="E16" i="7" s="1"/>
  <c r="B24" i="7" s="1"/>
  <c r="C25" i="7" l="1"/>
  <c r="B25" i="7"/>
  <c r="D25" i="7"/>
  <c r="D9" i="6" l="1"/>
  <c r="D8" i="6"/>
  <c r="D7" i="6"/>
  <c r="C11" i="5"/>
  <c r="C10" i="5"/>
  <c r="C9" i="5"/>
  <c r="C8" i="5"/>
  <c r="C7" i="5"/>
  <c r="D8" i="4"/>
  <c r="D7" i="4"/>
  <c r="D6" i="4"/>
  <c r="D5" i="4"/>
  <c r="C20" i="2" l="1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1" i="2" s="1"/>
  <c r="AG12" i="1"/>
  <c r="AF12" i="1"/>
  <c r="C12" i="1"/>
  <c r="X12" i="1"/>
  <c r="AD12" i="1"/>
  <c r="AE12" i="1"/>
  <c r="C13" i="1"/>
  <c r="X13" i="1"/>
  <c r="AD13" i="1"/>
  <c r="AE13" i="1"/>
  <c r="C14" i="1"/>
  <c r="X14" i="1"/>
  <c r="AD14" i="1"/>
  <c r="AE14" i="1"/>
  <c r="C15" i="1"/>
  <c r="X15" i="1"/>
  <c r="AD15" i="1"/>
  <c r="AE15" i="1"/>
  <c r="C16" i="1"/>
  <c r="X16" i="1"/>
  <c r="AD16" i="1"/>
  <c r="AE16" i="1"/>
  <c r="C17" i="1"/>
  <c r="X17" i="1"/>
  <c r="AD17" i="1"/>
  <c r="AE17" i="1"/>
  <c r="C18" i="1"/>
  <c r="X18" i="1"/>
  <c r="AD18" i="1"/>
  <c r="AE18" i="1"/>
  <c r="C19" i="1"/>
  <c r="X19" i="1"/>
  <c r="AD19" i="1"/>
  <c r="AE19" i="1"/>
  <c r="C20" i="1"/>
  <c r="X20" i="1"/>
  <c r="AD20" i="1"/>
  <c r="AE20" i="1"/>
  <c r="C21" i="1"/>
  <c r="X21" i="1"/>
  <c r="AD21" i="1"/>
  <c r="AE21" i="1"/>
  <c r="C22" i="1"/>
  <c r="X22" i="1"/>
  <c r="C23" i="1"/>
  <c r="X23" i="1"/>
  <c r="AD23" i="1"/>
  <c r="AE23" i="1"/>
  <c r="C24" i="1"/>
  <c r="X24" i="1"/>
  <c r="AD24" i="1"/>
  <c r="AE24" i="1"/>
  <c r="C25" i="1"/>
  <c r="X25" i="1"/>
  <c r="AD25" i="1"/>
  <c r="AE25" i="1"/>
  <c r="C26" i="1"/>
  <c r="X26" i="1"/>
  <c r="AD26" i="1"/>
  <c r="AE26" i="1"/>
  <c r="C27" i="1"/>
  <c r="X27" i="1"/>
  <c r="AD27" i="1"/>
  <c r="AE27" i="1"/>
  <c r="C28" i="1"/>
  <c r="X28" i="1"/>
  <c r="AD28" i="1"/>
  <c r="AE28" i="1"/>
  <c r="C29" i="1"/>
  <c r="X29" i="1"/>
  <c r="AD29" i="1"/>
  <c r="AE29" i="1"/>
  <c r="E30" i="1"/>
  <c r="H30" i="1"/>
  <c r="I30" i="1"/>
  <c r="J30" i="1"/>
  <c r="K30" i="1"/>
  <c r="L30" i="1"/>
  <c r="M30" i="1"/>
  <c r="N30" i="1"/>
  <c r="O30" i="1"/>
  <c r="P30" i="1"/>
  <c r="Q30" i="1"/>
  <c r="C2" i="1" s="1"/>
  <c r="R30" i="1"/>
  <c r="S30" i="1"/>
  <c r="AD30" i="1"/>
  <c r="F3" i="1" s="1"/>
  <c r="AD31" i="1"/>
  <c r="AE31" i="1"/>
  <c r="AG29" i="1" l="1"/>
  <c r="AG28" i="1"/>
  <c r="AE30" i="1"/>
  <c r="AG22" i="1"/>
  <c r="X30" i="1"/>
  <c r="C30" i="1"/>
  <c r="F30" i="1" s="1"/>
  <c r="G30" i="1" s="1"/>
  <c r="C6" i="1"/>
  <c r="D2" i="1"/>
  <c r="E2" i="1" s="1"/>
  <c r="E6" i="1" s="1"/>
  <c r="G12" i="1"/>
  <c r="F12" i="1" s="1"/>
  <c r="G13" i="1"/>
  <c r="F13" i="1" s="1"/>
  <c r="G14" i="1"/>
  <c r="F14" i="1" s="1"/>
  <c r="G15" i="1"/>
  <c r="F15" i="1" s="1"/>
  <c r="G16" i="1"/>
  <c r="F16" i="1" s="1"/>
  <c r="G17" i="1"/>
  <c r="F17" i="1" s="1"/>
  <c r="G18" i="1"/>
  <c r="F18" i="1" s="1"/>
  <c r="G19" i="1"/>
  <c r="F19" i="1" s="1"/>
  <c r="G20" i="1"/>
  <c r="F20" i="1" s="1"/>
  <c r="G21" i="1"/>
  <c r="F21" i="1" s="1"/>
  <c r="G22" i="1"/>
  <c r="F22" i="1" s="1"/>
  <c r="G24" i="1"/>
  <c r="F24" i="1" s="1"/>
  <c r="G26" i="1"/>
  <c r="F26" i="1" s="1"/>
  <c r="G28" i="1"/>
  <c r="F28" i="1" s="1"/>
  <c r="G29" i="1"/>
  <c r="F29" i="1" s="1"/>
  <c r="G23" i="1"/>
  <c r="F23" i="1" s="1"/>
  <c r="G25" i="1"/>
  <c r="F25" i="1" s="1"/>
  <c r="G27" i="1"/>
  <c r="F27" i="1" s="1"/>
  <c r="F2" i="1"/>
  <c r="AG30" i="1"/>
  <c r="AG31" i="1" s="1"/>
  <c r="I2" i="1"/>
  <c r="K3" i="1"/>
  <c r="I3" i="1"/>
  <c r="AG21" i="1"/>
  <c r="AG20" i="1"/>
  <c r="AG19" i="1"/>
  <c r="AG18" i="1"/>
  <c r="AG17" i="1"/>
  <c r="AG16" i="1"/>
  <c r="AG15" i="1"/>
  <c r="AG14" i="1"/>
  <c r="AG13" i="1"/>
  <c r="H3" i="1"/>
  <c r="AF27" i="1"/>
  <c r="AF24" i="1"/>
  <c r="AF22" i="1"/>
  <c r="C3" i="1"/>
  <c r="C7" i="1" s="1"/>
  <c r="C8" i="1" s="1"/>
  <c r="AF29" i="1"/>
  <c r="AF28" i="1"/>
  <c r="AF26" i="1"/>
  <c r="AF25" i="1"/>
  <c r="AF23" i="1"/>
  <c r="AG27" i="1"/>
  <c r="AG26" i="1"/>
  <c r="AG25" i="1"/>
  <c r="AG24" i="1"/>
  <c r="AG23" i="1"/>
  <c r="E3" i="1"/>
  <c r="AF21" i="1"/>
  <c r="AF20" i="1"/>
  <c r="AF19" i="1"/>
  <c r="AF18" i="1"/>
  <c r="AF17" i="1"/>
  <c r="AF16" i="1"/>
  <c r="AF15" i="1"/>
  <c r="AF14" i="1"/>
  <c r="AF13" i="1"/>
  <c r="E7" i="1" l="1"/>
  <c r="E8" i="1" s="1"/>
  <c r="F6" i="1"/>
  <c r="F7" i="1" s="1"/>
  <c r="F8" i="1" s="1"/>
  <c r="G2" i="1"/>
  <c r="H2" i="1" s="1"/>
  <c r="H6" i="1" s="1"/>
  <c r="H7" i="1" s="1"/>
  <c r="H8" i="1" s="1"/>
  <c r="I7" i="1"/>
  <c r="I8" i="1" s="1"/>
  <c r="AF30" i="1"/>
  <c r="AF31" i="1" s="1"/>
  <c r="J2" i="1"/>
  <c r="I6" i="1"/>
  <c r="K2" i="1"/>
  <c r="K6" i="1" s="1"/>
  <c r="K7" i="1" s="1"/>
  <c r="K8" i="1" s="1"/>
</calcChain>
</file>

<file path=xl/sharedStrings.xml><?xml version="1.0" encoding="utf-8"?>
<sst xmlns="http://schemas.openxmlformats.org/spreadsheetml/2006/main" count="159" uniqueCount="112">
  <si>
    <t>სულ</t>
  </si>
  <si>
    <t>შ.პ.ს. ა. ქაჯაიას სახ. სურამის ფსიქიატრიული საავადმყოფო</t>
  </si>
  <si>
    <t>შპს "გორმედი"</t>
  </si>
  <si>
    <t>შპს "რუსთავის ფსიქონევროლოგიური დისპანსერი"</t>
  </si>
  <si>
    <t>შპს "უნიმედი-სამცხე"</t>
  </si>
  <si>
    <t>საქართველოს ჯანმ-ისა და სოც. დაცვის სენაკის შპს სარაიონთაშორისო ფსიქონევროლოგიური დისპანსერი</t>
  </si>
  <si>
    <t>შ.პ.ს. ''ზუგდიდის სარაიონთაშორისო ფსიქონარკოლოგიური დისპანსერი''</t>
  </si>
  <si>
    <t>შპს "მცხეთის პირველადი ჯანდაცვის ცენტრი ჯანმრთელი თაობა"</t>
  </si>
  <si>
    <t>შპს "არქიმედეს კლინიკა"</t>
  </si>
  <si>
    <t>შპს  "თელავის ფსიქონევროლოგიური დისპანსერი"</t>
  </si>
  <si>
    <t>შპს აკად. ბ. ნანეიშვილის სახ. ფსიქიკური ჯანმრთელობის ეროვნული ცენტრი</t>
  </si>
  <si>
    <t>შპს "ჯეოჰოსპიტალსი"</t>
  </si>
  <si>
    <t>შპს "ქუთაისის ფსიქიკური ჯანმრთელობის ცენტრი"</t>
  </si>
  <si>
    <t>ლანჩხუთის ფსიქონევროლოგიური დისპანსერი შპს "ნევრონი"</t>
  </si>
  <si>
    <t>შპს "მედალფა"</t>
  </si>
  <si>
    <t>შპს "რესპუბლიკური ფსიქონევროლოგიური დისპანსერი"</t>
  </si>
  <si>
    <t>შპს "აფხაზეთის ფსიქონევროლოგიური დისპანსერი"</t>
  </si>
  <si>
    <t>შპს "ფსიქიკური ჯანმრთელობის და ნარკომანიის პრევენციის ცენტრი"</t>
  </si>
  <si>
    <t>შპს  "თბილისის ფსიქიკური ჯანმრთელობის ცენტრი"</t>
  </si>
  <si>
    <t>ბიუჯეტის განაწილება აქტიური ბენეფიციარების და ვაუჩერის ღირებულების მიხედვით</t>
  </si>
  <si>
    <t>ბიუჯეტის განაწილება რეგისტრირებული ბენეფიციარებისა და ვაუჩერის ღირებულების მიხედვით</t>
  </si>
  <si>
    <t>მედიკამენტების გარეშე</t>
  </si>
  <si>
    <t>ხარჯი 1 აქტიურ პაციენტზე</t>
  </si>
  <si>
    <t>მოგება/ზარალი</t>
  </si>
  <si>
    <t>გამოკვლევები</t>
  </si>
  <si>
    <t>მედიკამენტები</t>
  </si>
  <si>
    <t>არაპირდაპირი ხარჯი</t>
  </si>
  <si>
    <t>მედპერსონალის ხელფასი</t>
  </si>
  <si>
    <t>საშუალო რაოდენობა</t>
  </si>
  <si>
    <t>აპრილი</t>
  </si>
  <si>
    <t>მარტი</t>
  </si>
  <si>
    <t>თებერვალი</t>
  </si>
  <si>
    <t>იანვარი</t>
  </si>
  <si>
    <t>დეკემბერი</t>
  </si>
  <si>
    <t>ნოემბერი</t>
  </si>
  <si>
    <t>ოქტომბერი</t>
  </si>
  <si>
    <t>სექტემბერი</t>
  </si>
  <si>
    <t>აგვისტო</t>
  </si>
  <si>
    <t>ივლისი</t>
  </si>
  <si>
    <t>ივნისი</t>
  </si>
  <si>
    <t>მაისი</t>
  </si>
  <si>
    <t>რეგისტრირებული პაციენტები (ბაზა)_14.05.2015</t>
  </si>
  <si>
    <t>თვის ბიუჯეტი</t>
  </si>
  <si>
    <t>წლის</t>
  </si>
  <si>
    <t>დაწესებულებები</t>
  </si>
  <si>
    <t>N</t>
  </si>
  <si>
    <t>ბიუჯეტის გასაშუალოებული ჩაშლა</t>
  </si>
  <si>
    <t>აქტიური პაციენტები</t>
  </si>
  <si>
    <t>არსებული ბიუჯეტი ბენეფიციარების მიხედვით</t>
  </si>
  <si>
    <t>ამბულატორია</t>
  </si>
  <si>
    <t xml:space="preserve">წლიური ვაუჩერული პროგრამის ღირებულება </t>
  </si>
  <si>
    <t>პაციენტების წლიური რაოდენობა</t>
  </si>
  <si>
    <t>პროგნოზი</t>
  </si>
  <si>
    <t>არსებული გასაშუალოებული დანახარჯი 1 პაციენტზე ფაქტიური ხარჯით</t>
  </si>
  <si>
    <t>აქტიური პაციენტების რაოდენობა (თვე)</t>
  </si>
  <si>
    <t>ვაუჩერის ღირებულება მედიკამენტის ხარჯის გარეშე</t>
  </si>
  <si>
    <t>ნამატი 20%</t>
  </si>
  <si>
    <t>ბენეფიციარების საშუალო რაოდენობა თვეში</t>
  </si>
  <si>
    <t>ბენეფიციარების მაქსიმალური რაოდენობა თვეში</t>
  </si>
  <si>
    <t>ამბულატორიული პროგრამის რედიაზინი ვაუჩერზე</t>
  </si>
  <si>
    <t>შპს "რუსთავის ფსიქიკური ჯანმრთელობის ცენტრი"</t>
  </si>
  <si>
    <t xml:space="preserve"> შპს სენაკის სარაიონთაშორისო ფსიქონევროლოგიური დისპანსერი</t>
  </si>
  <si>
    <t xml:space="preserve">ფსიქიკური ჯანმრთელობა 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</si>
  <si>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</si>
  <si>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</si>
  <si>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</si>
  <si>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</si>
  <si>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</si>
  <si>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</si>
  <si>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</si>
  <si>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ქ. თბილისი</t>
  </si>
  <si>
    <t>ა(ა)იპ - ფსიქიკური ჯანმრთელობის ასოციაცია</t>
  </si>
  <si>
    <t>იმერეთი</t>
  </si>
  <si>
    <t>შპს „ქუთაისის ფსიქიკური ჯანმრთელობის ცენტრი"</t>
  </si>
  <si>
    <t>კახეთი</t>
  </si>
  <si>
    <t>შპს „თელავის ფსიქონევროლოგიური დისპანსერი"</t>
  </si>
  <si>
    <t>ფსიქიატრიული კრიზისული ინტერვენციის კომპონენტის მიმწოდებლები</t>
  </si>
  <si>
    <t>(ლარი)</t>
  </si>
  <si>
    <t>შპს „საოჯახო მედიცინის ეროვნული სასწავლო ცენტრი"</t>
  </si>
  <si>
    <t>ქვემო  ქართლი</t>
  </si>
  <si>
    <t>შპს „რუსთავის ფსიქიკური ჯანმრთელობის ცენტრი"</t>
  </si>
  <si>
    <t>აჭარა</t>
  </si>
  <si>
    <t>შპს „რესპუბლიკური კლინიკური ფსიქონევროლოგიური საავადმყოფო"</t>
  </si>
  <si>
    <t>წლის ბიუჯეტი</t>
  </si>
  <si>
    <t>თემზე დაფუძნებული მობილური გუნდის კომპონენტის მიმწოდებლები</t>
  </si>
  <si>
    <t>შპს „თბილისის ფსიქიკური ჯანმრთელობის ცენტრი“</t>
  </si>
  <si>
    <t>ა(ა)იპ „მტკიცებულებაზე დაფუძნებული პრაქტიკის ცენტრი“</t>
  </si>
  <si>
    <t>საწოლფონდი</t>
  </si>
  <si>
    <t>საწოლდღის ფასი ხარჯვის მონაცემების მიხედვით</t>
  </si>
  <si>
    <t>თვის დღეები</t>
  </si>
  <si>
    <t>ქ. თბილისი შპს ,, # 5 კლინიკური საავადმყოფო''</t>
  </si>
  <si>
    <t>შპს "ბედიანის ფსიქიატრიული საავადმყოფო"</t>
  </si>
  <si>
    <t>შპს ,,რესპუბლიკური, კლინიკური, ფსიქონევროლოგიური საავადმყოფო"</t>
  </si>
  <si>
    <t>შპს "ქალაქ თბილისის ფსიქიკური ჯანმრთელობის ცენტრი"</t>
  </si>
  <si>
    <t>შპს. აკად. ო. ღუდუშაურის სახელობის ეროვნული სამედიცინო ცენტრი</t>
  </si>
  <si>
    <t>შპს „უნიმედი კახეთი” თბილისის რეფერალური ჰოსპიტალი</t>
  </si>
  <si>
    <t>შპს ''რუსთავის ფსიქიკური ჯანმრთელობის ცენტრი''</t>
  </si>
  <si>
    <t>შპს "სენაკის სარაიონთაშორისო ფსიქონევროლოგიური დისპანსერი"</t>
  </si>
  <si>
    <t>შპს "ალ. ქაჯაიას სახ. სურამის ფსიქიატრიული საავადმყოფო</t>
  </si>
  <si>
    <t>სულ საწოლების რაოდენობა/საწოლდღის საშუალო ფასი არსებული ხარჯვით</t>
  </si>
  <si>
    <t>ერთი თვის ბიუჯეტი</t>
  </si>
  <si>
    <t>6 თვის ბიუჯეტი (ივნისი-ნოემბერი)</t>
  </si>
  <si>
    <t>პროგრამული (სტაციონარული კომპონენტის) ხარჯები</t>
  </si>
  <si>
    <t>18 ლარი</t>
  </si>
  <si>
    <t>19 ლარი</t>
  </si>
  <si>
    <t>20 ლარი</t>
  </si>
  <si>
    <t>სულ ბიუჯეტი 2016</t>
  </si>
  <si>
    <t>შესრულებული 5 თვე (დეკემბერი-აპრილი)</t>
  </si>
  <si>
    <t>მაისი (ამ ეტაპზე დაფიქსირებული საშუალო თვიური ხარჯის მიხედვით)</t>
  </si>
  <si>
    <t>ბიუჯეტი (ივნისი-ნოემბერი)</t>
  </si>
  <si>
    <t>სავარაუდო ხარჯი (ივნისი-ნოემბერი)</t>
  </si>
  <si>
    <t>სავარაუდო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</si>
</sst>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L_a_r_i_-;\-* #,##0.00\ _L_a_r_i_-;_-* &quot;-&quot;??\ _L_a_r_i_-;_-@_-"/>
    <numFmt numFmtId="170" formatCode="_-* #,##0.0\ _L_a_r_i_-;\-* #,##0.0\ _L_a_r_i_-;_-* &quot;-&quot;??\ _L_a_r_i_-;_-@_-"/>
    <numFmt numFmtId="171" formatCode="#,##0.0;[Red]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2"/>
      <name val="Calibri"/>
      <family val="2"/>
      <scheme val="minor"/>
    </font>
    <font>
      <sz val="11"/>
      <name val="Sylfaen"/>
      <family val="1"/>
      <charset val="204"/>
    </font>
    <font>
      <sz val="10"/>
      <color theme="1"/>
      <name val="Sylfae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</cellStyleXfs>
  <cellXfs count="115">
    <xf numFmtId="0" fontId="0" fillId="0" borderId="0" xfId="0"/>
    <xf numFmtId="0" fontId="2" fillId="0" borderId="0" xfId="0" applyFont="1"/>
    <xf numFmtId="165" fontId="2" fillId="0" borderId="0" xfId="0" applyNumberFormat="1" applyFont="1"/>
    <xf numFmtId="2" fontId="2" fillId="0" borderId="0" xfId="0" applyNumberFormat="1" applyFont="1"/>
    <xf numFmtId="164" fontId="3" fillId="0" borderId="1" xfId="1" applyFont="1" applyFill="1" applyBorder="1"/>
    <xf numFmtId="164" fontId="3" fillId="0" borderId="1" xfId="1" applyFont="1" applyBorder="1"/>
    <xf numFmtId="164" fontId="2" fillId="0" borderId="0" xfId="1" applyFont="1" applyFill="1"/>
    <xf numFmtId="164" fontId="2" fillId="0" borderId="0" xfId="1" applyFont="1"/>
    <xf numFmtId="164" fontId="4" fillId="0" borderId="2" xfId="1" applyFont="1" applyFill="1" applyBorder="1"/>
    <xf numFmtId="164" fontId="4" fillId="0" borderId="1" xfId="1" applyFont="1" applyFill="1" applyBorder="1"/>
    <xf numFmtId="164" fontId="3" fillId="0" borderId="1" xfId="1" applyFont="1" applyBorder="1" applyAlignment="1">
      <alignment horizontal="center"/>
    </xf>
    <xf numFmtId="164" fontId="3" fillId="0" borderId="1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164" fontId="4" fillId="0" borderId="1" xfId="1" applyFont="1" applyBorder="1"/>
    <xf numFmtId="164" fontId="4" fillId="0" borderId="1" xfId="1" applyFont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64" fontId="4" fillId="0" borderId="1" xfId="1" applyFont="1" applyFill="1" applyBorder="1" applyAlignment="1">
      <alignment horizontal="center" wrapText="1"/>
    </xf>
    <xf numFmtId="164" fontId="5" fillId="0" borderId="0" xfId="1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5" xfId="0" applyNumberFormat="1" applyFont="1" applyBorder="1"/>
    <xf numFmtId="0" fontId="4" fillId="0" borderId="6" xfId="0" applyFont="1" applyBorder="1"/>
    <xf numFmtId="165" fontId="4" fillId="0" borderId="7" xfId="0" applyNumberFormat="1" applyFont="1" applyBorder="1"/>
    <xf numFmtId="165" fontId="4" fillId="0" borderId="6" xfId="0" applyNumberFormat="1" applyFont="1" applyBorder="1"/>
    <xf numFmtId="0" fontId="2" fillId="0" borderId="7" xfId="0" applyFont="1" applyBorder="1"/>
    <xf numFmtId="165" fontId="3" fillId="0" borderId="5" xfId="0" applyNumberFormat="1" applyFont="1" applyBorder="1"/>
    <xf numFmtId="0" fontId="3" fillId="0" borderId="6" xfId="0" applyFont="1" applyBorder="1"/>
    <xf numFmtId="165" fontId="3" fillId="0" borderId="7" xfId="0" applyNumberFormat="1" applyFont="1" applyBorder="1"/>
    <xf numFmtId="165" fontId="3" fillId="0" borderId="6" xfId="0" applyNumberFormat="1" applyFont="1" applyBorder="1"/>
    <xf numFmtId="164" fontId="3" fillId="0" borderId="7" xfId="0" applyNumberFormat="1" applyFont="1" applyBorder="1"/>
    <xf numFmtId="0" fontId="7" fillId="0" borderId="0" xfId="0" applyFont="1" applyBorder="1"/>
    <xf numFmtId="0" fontId="2" fillId="0" borderId="8" xfId="0" applyFont="1" applyBorder="1"/>
    <xf numFmtId="165" fontId="4" fillId="0" borderId="9" xfId="0" applyNumberFormat="1" applyFont="1" applyBorder="1"/>
    <xf numFmtId="0" fontId="4" fillId="0" borderId="0" xfId="0" applyFont="1" applyBorder="1"/>
    <xf numFmtId="165" fontId="4" fillId="0" borderId="8" xfId="0" applyNumberFormat="1" applyFont="1" applyBorder="1"/>
    <xf numFmtId="165" fontId="4" fillId="0" borderId="0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8" xfId="0" applyFont="1" applyBorder="1"/>
    <xf numFmtId="0" fontId="8" fillId="0" borderId="0" xfId="0" applyFont="1" applyBorder="1"/>
    <xf numFmtId="2" fontId="4" fillId="0" borderId="9" xfId="0" applyNumberFormat="1" applyFont="1" applyBorder="1"/>
    <xf numFmtId="2" fontId="4" fillId="0" borderId="8" xfId="0" applyNumberFormat="1" applyFont="1" applyBorder="1"/>
    <xf numFmtId="2" fontId="4" fillId="0" borderId="0" xfId="0" applyNumberFormat="1" applyFont="1" applyBorder="1"/>
    <xf numFmtId="0" fontId="7" fillId="0" borderId="0" xfId="0" applyFont="1" applyBorder="1" applyAlignment="1">
      <alignment wrapText="1"/>
    </xf>
    <xf numFmtId="164" fontId="4" fillId="0" borderId="8" xfId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4" fontId="4" fillId="0" borderId="12" xfId="0" applyNumberFormat="1" applyFont="1" applyBorder="1"/>
    <xf numFmtId="0" fontId="4" fillId="0" borderId="13" xfId="0" applyFont="1" applyBorder="1" applyAlignment="1"/>
    <xf numFmtId="0" fontId="4" fillId="0" borderId="14" xfId="0" applyFont="1" applyBorder="1" applyAlignment="1"/>
    <xf numFmtId="0" fontId="4" fillId="0" borderId="15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2" fillId="0" borderId="12" xfId="0" applyFont="1" applyBorder="1"/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vertical="center" wrapText="1"/>
    </xf>
    <xf numFmtId="164" fontId="0" fillId="0" borderId="0" xfId="1" applyFont="1"/>
    <xf numFmtId="0" fontId="12" fillId="0" borderId="17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center" wrapText="1"/>
    </xf>
    <xf numFmtId="164" fontId="0" fillId="0" borderId="0" xfId="0" applyNumberFormat="1"/>
    <xf numFmtId="0" fontId="13" fillId="0" borderId="20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170" fontId="14" fillId="4" borderId="1" xfId="1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Fill="1" applyBorder="1"/>
    <xf numFmtId="4" fontId="15" fillId="0" borderId="1" xfId="0" applyNumberFormat="1" applyFont="1" applyBorder="1" applyAlignment="1">
      <alignment horizontal="center"/>
    </xf>
    <xf numFmtId="170" fontId="15" fillId="4" borderId="1" xfId="1" applyNumberFormat="1" applyFont="1" applyFill="1" applyBorder="1" applyAlignment="1">
      <alignment horizontal="left" vertical="center"/>
    </xf>
    <xf numFmtId="164" fontId="15" fillId="0" borderId="1" xfId="1" applyFont="1" applyFill="1" applyBorder="1" applyAlignment="1">
      <alignment horizontal="center" vertical="center"/>
    </xf>
    <xf numFmtId="164" fontId="15" fillId="0" borderId="1" xfId="1" applyFont="1" applyFill="1" applyBorder="1"/>
    <xf numFmtId="0" fontId="15" fillId="0" borderId="1" xfId="0" applyFont="1" applyFill="1" applyBorder="1"/>
    <xf numFmtId="0" fontId="15" fillId="0" borderId="1" xfId="0" applyFont="1" applyBorder="1" applyAlignment="1">
      <alignment horizontal="left"/>
    </xf>
    <xf numFmtId="171" fontId="15" fillId="0" borderId="1" xfId="0" applyNumberFormat="1" applyFont="1" applyBorder="1" applyAlignment="1">
      <alignment horizontal="left"/>
    </xf>
    <xf numFmtId="165" fontId="15" fillId="0" borderId="1" xfId="0" applyNumberFormat="1" applyFont="1" applyFill="1" applyBorder="1"/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18" fillId="0" borderId="1" xfId="0" applyFont="1" applyBorder="1"/>
    <xf numFmtId="164" fontId="18" fillId="0" borderId="1" xfId="1" applyFont="1" applyBorder="1" applyAlignment="1">
      <alignment horizontal="center"/>
    </xf>
    <xf numFmtId="165" fontId="18" fillId="0" borderId="1" xfId="0" applyNumberFormat="1" applyFont="1" applyBorder="1" applyAlignment="1">
      <alignment horizontal="center"/>
    </xf>
    <xf numFmtId="0" fontId="19" fillId="0" borderId="0" xfId="0" applyFont="1" applyFill="1"/>
    <xf numFmtId="165" fontId="18" fillId="0" borderId="1" xfId="0" applyNumberFormat="1" applyFont="1" applyBorder="1"/>
    <xf numFmtId="165" fontId="20" fillId="0" borderId="1" xfId="0" applyNumberFormat="1" applyFont="1" applyBorder="1" applyAlignment="1">
      <alignment horizontal="center"/>
    </xf>
    <xf numFmtId="164" fontId="20" fillId="0" borderId="1" xfId="1" applyFont="1" applyBorder="1" applyAlignment="1">
      <alignment horizontal="center"/>
    </xf>
    <xf numFmtId="165" fontId="0" fillId="0" borderId="0" xfId="0" applyNumberFormat="1"/>
    <xf numFmtId="164" fontId="0" fillId="0" borderId="0" xfId="1" applyFont="1" applyFill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topLeftCell="A4" workbookViewId="0">
      <selection activeCell="A4" sqref="A1:XFD1048576"/>
    </sheetView>
  </sheetViews>
  <sheetFormatPr defaultRowHeight="15" x14ac:dyDescent="0.25"/>
  <cols>
    <col min="1" max="1" width="4.85546875" style="1" customWidth="1"/>
    <col min="2" max="2" width="49.42578125" style="1" bestFit="1" customWidth="1"/>
    <col min="3" max="3" width="14.42578125" style="1" customWidth="1"/>
    <col min="4" max="4" width="11.7109375" style="1" customWidth="1"/>
    <col min="5" max="6" width="17.7109375" style="1" customWidth="1"/>
    <col min="7" max="7" width="11.7109375" style="1" customWidth="1"/>
    <col min="8" max="9" width="17.7109375" style="1" customWidth="1"/>
    <col min="10" max="10" width="11.7109375" style="1" customWidth="1"/>
    <col min="11" max="11" width="17.7109375" style="1" customWidth="1"/>
    <col min="12" max="15" width="10.5703125" style="1" customWidth="1"/>
    <col min="16" max="16" width="12" style="1" customWidth="1"/>
    <col min="17" max="23" width="10.7109375" style="1" customWidth="1"/>
    <col min="24" max="24" width="12.85546875" style="1" customWidth="1"/>
    <col min="25" max="25" width="8.28515625" style="1" customWidth="1"/>
    <col min="26" max="27" width="9.140625" style="1" customWidth="1"/>
    <col min="28" max="28" width="7.7109375" style="1" customWidth="1"/>
    <col min="29" max="30" width="8.28515625" style="1" customWidth="1"/>
    <col min="31" max="31" width="9.28515625" style="1" customWidth="1"/>
    <col min="32" max="32" width="17.42578125" style="1" customWidth="1"/>
    <col min="33" max="33" width="16.7109375" style="1" bestFit="1" customWidth="1"/>
    <col min="34" max="16384" width="9.140625" style="1"/>
  </cols>
  <sheetData>
    <row r="1" spans="1:33" ht="55.5" customHeight="1" thickBot="1" x14ac:dyDescent="0.35">
      <c r="A1" s="55"/>
      <c r="B1" s="54" t="s">
        <v>59</v>
      </c>
      <c r="C1" s="53" t="s">
        <v>58</v>
      </c>
      <c r="D1" s="52" t="s">
        <v>56</v>
      </c>
      <c r="E1" s="51" t="s">
        <v>0</v>
      </c>
      <c r="F1" s="53" t="s">
        <v>57</v>
      </c>
      <c r="G1" s="52" t="s">
        <v>56</v>
      </c>
      <c r="H1" s="51" t="s">
        <v>0</v>
      </c>
      <c r="I1" s="56" t="s">
        <v>55</v>
      </c>
      <c r="J1" s="57"/>
      <c r="K1" s="58"/>
    </row>
    <row r="2" spans="1:33" ht="15.75" x14ac:dyDescent="0.3">
      <c r="A2" s="34"/>
      <c r="B2" s="33" t="s">
        <v>54</v>
      </c>
      <c r="C2" s="50">
        <f>Q30</f>
        <v>13306</v>
      </c>
      <c r="D2" s="48">
        <f>C2*0.2</f>
        <v>2661.2000000000003</v>
      </c>
      <c r="E2" s="49">
        <f>C2+D2</f>
        <v>15967.2</v>
      </c>
      <c r="F2" s="48">
        <f>X30</f>
        <v>12479.857142857143</v>
      </c>
      <c r="G2" s="48">
        <f>F2*0.2</f>
        <v>2495.971428571429</v>
      </c>
      <c r="H2" s="48">
        <f>F2+G2</f>
        <v>14975.828571428572</v>
      </c>
      <c r="I2" s="47">
        <f>X30</f>
        <v>12479.857142857143</v>
      </c>
      <c r="J2" s="38">
        <f>I2*0.2</f>
        <v>2495.971428571429</v>
      </c>
      <c r="K2" s="35">
        <f>I2+J2</f>
        <v>14975.828571428572</v>
      </c>
    </row>
    <row r="3" spans="1:33" ht="30" x14ac:dyDescent="0.3">
      <c r="A3" s="34"/>
      <c r="B3" s="46" t="s">
        <v>53</v>
      </c>
      <c r="C3" s="44">
        <f>AD30</f>
        <v>22.396470588235296</v>
      </c>
      <c r="D3" s="36"/>
      <c r="E3" s="43">
        <f>AD30</f>
        <v>22.396470588235296</v>
      </c>
      <c r="F3" s="45">
        <f>AD30</f>
        <v>22.396470588235296</v>
      </c>
      <c r="G3" s="45"/>
      <c r="H3" s="45">
        <f>AD30</f>
        <v>22.396470588235296</v>
      </c>
      <c r="I3" s="44">
        <f>AE30</f>
        <v>14.530000000000003</v>
      </c>
      <c r="J3" s="36"/>
      <c r="K3" s="43">
        <f>AE30</f>
        <v>14.530000000000003</v>
      </c>
    </row>
    <row r="4" spans="1:33" ht="15.75" x14ac:dyDescent="0.3">
      <c r="A4" s="34"/>
      <c r="B4" s="33"/>
      <c r="C4" s="41"/>
      <c r="D4" s="36"/>
      <c r="E4" s="40"/>
      <c r="F4" s="36"/>
      <c r="G4" s="36"/>
      <c r="H4" s="36"/>
      <c r="I4" s="41"/>
      <c r="J4" s="36"/>
      <c r="K4" s="40"/>
    </row>
    <row r="5" spans="1:33" ht="15.75" x14ac:dyDescent="0.3">
      <c r="A5" s="34"/>
      <c r="B5" s="42" t="s">
        <v>52</v>
      </c>
      <c r="C5" s="41"/>
      <c r="D5" s="36"/>
      <c r="E5" s="40"/>
      <c r="F5" s="36"/>
      <c r="G5" s="36"/>
      <c r="H5" s="36"/>
      <c r="I5" s="41"/>
      <c r="J5" s="36"/>
      <c r="K5" s="40"/>
    </row>
    <row r="6" spans="1:33" ht="15.75" x14ac:dyDescent="0.3">
      <c r="A6" s="34"/>
      <c r="B6" s="33" t="s">
        <v>51</v>
      </c>
      <c r="C6" s="39">
        <f>C2*12</f>
        <v>159672</v>
      </c>
      <c r="D6" s="36"/>
      <c r="E6" s="35">
        <f>E2*12</f>
        <v>191606.40000000002</v>
      </c>
      <c r="F6" s="38">
        <f>F2*12</f>
        <v>149758.28571428571</v>
      </c>
      <c r="G6" s="38"/>
      <c r="H6" s="38">
        <f>H2*12</f>
        <v>179709.94285714286</v>
      </c>
      <c r="I6" s="37">
        <f>I2*12</f>
        <v>149758.28571428571</v>
      </c>
      <c r="J6" s="36"/>
      <c r="K6" s="35">
        <f>K2*12</f>
        <v>179709.94285714286</v>
      </c>
    </row>
    <row r="7" spans="1:33" ht="16.5" thickBot="1" x14ac:dyDescent="0.35">
      <c r="A7" s="34"/>
      <c r="B7" s="33" t="s">
        <v>50</v>
      </c>
      <c r="C7" s="32">
        <f>C3*C6</f>
        <v>3576089.2517647063</v>
      </c>
      <c r="D7" s="29"/>
      <c r="E7" s="28">
        <f>E3*E6</f>
        <v>4291307.1021176483</v>
      </c>
      <c r="F7" s="31">
        <f>F3*F6</f>
        <v>3354057.0413445379</v>
      </c>
      <c r="G7" s="31"/>
      <c r="H7" s="31">
        <f>H3*H6</f>
        <v>4024868.4496134459</v>
      </c>
      <c r="I7" s="30">
        <f>I3*I6</f>
        <v>2175987.8914285717</v>
      </c>
      <c r="J7" s="29"/>
      <c r="K7" s="28">
        <f>K6*K3</f>
        <v>2611185.4697142863</v>
      </c>
    </row>
    <row r="8" spans="1:33" ht="15.75" thickBot="1" x14ac:dyDescent="0.3">
      <c r="A8" s="27"/>
      <c r="B8" s="24">
        <v>2866000</v>
      </c>
      <c r="C8" s="26">
        <f>B8-C7</f>
        <v>-710089.25176470634</v>
      </c>
      <c r="D8" s="24"/>
      <c r="E8" s="26">
        <f>B8-E7</f>
        <v>-1425307.1021176483</v>
      </c>
      <c r="F8" s="26">
        <f>B8-F7</f>
        <v>-488057.04134453787</v>
      </c>
      <c r="G8" s="24"/>
      <c r="H8" s="26">
        <f>B8-H7</f>
        <v>-1158868.4496134459</v>
      </c>
      <c r="I8" s="25">
        <f>B8-I7</f>
        <v>690012.10857142834</v>
      </c>
      <c r="J8" s="24"/>
      <c r="K8" s="23">
        <f>B8-K7</f>
        <v>254814.53028571373</v>
      </c>
    </row>
    <row r="9" spans="1:33" x14ac:dyDescent="0.25">
      <c r="A9" s="59" t="s">
        <v>49</v>
      </c>
      <c r="B9" s="59"/>
      <c r="C9" s="59"/>
      <c r="D9" s="59"/>
      <c r="E9" s="59"/>
      <c r="F9" s="59"/>
      <c r="G9" s="59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</row>
    <row r="10" spans="1:33" ht="30" customHeight="1" x14ac:dyDescent="0.25">
      <c r="A10" s="13"/>
      <c r="B10" s="13"/>
      <c r="C10" s="13"/>
      <c r="D10" s="13"/>
      <c r="E10" s="13"/>
      <c r="F10" s="62" t="s">
        <v>48</v>
      </c>
      <c r="G10" s="63"/>
      <c r="H10" s="61" t="s">
        <v>47</v>
      </c>
      <c r="I10" s="61"/>
      <c r="J10" s="61"/>
      <c r="K10" s="61"/>
      <c r="L10" s="6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61" t="s">
        <v>46</v>
      </c>
      <c r="Z10" s="61"/>
      <c r="AA10" s="61"/>
      <c r="AB10" s="61"/>
      <c r="AC10" s="61"/>
      <c r="AD10" s="13"/>
      <c r="AE10" s="13"/>
      <c r="AF10" s="21"/>
      <c r="AG10" s="21"/>
    </row>
    <row r="11" spans="1:33" ht="89.25" x14ac:dyDescent="0.25">
      <c r="A11" s="13" t="s">
        <v>45</v>
      </c>
      <c r="B11" s="19" t="s">
        <v>44</v>
      </c>
      <c r="C11" s="19" t="s">
        <v>43</v>
      </c>
      <c r="D11" s="19" t="s">
        <v>42</v>
      </c>
      <c r="E11" s="19" t="s">
        <v>41</v>
      </c>
      <c r="F11" s="19"/>
      <c r="G11" s="19"/>
      <c r="H11" s="19" t="s">
        <v>32</v>
      </c>
      <c r="I11" s="19" t="s">
        <v>31</v>
      </c>
      <c r="J11" s="19" t="s">
        <v>30</v>
      </c>
      <c r="K11" s="19" t="s">
        <v>29</v>
      </c>
      <c r="L11" s="19" t="s">
        <v>40</v>
      </c>
      <c r="M11" s="19" t="s">
        <v>39</v>
      </c>
      <c r="N11" s="19" t="s">
        <v>38</v>
      </c>
      <c r="O11" s="19" t="s">
        <v>37</v>
      </c>
      <c r="P11" s="19" t="s">
        <v>36</v>
      </c>
      <c r="Q11" s="19" t="s">
        <v>35</v>
      </c>
      <c r="R11" s="19" t="s">
        <v>34</v>
      </c>
      <c r="S11" s="19" t="s">
        <v>33</v>
      </c>
      <c r="T11" s="19" t="s">
        <v>32</v>
      </c>
      <c r="U11" s="19" t="s">
        <v>31</v>
      </c>
      <c r="V11" s="19" t="s">
        <v>30</v>
      </c>
      <c r="W11" s="19" t="s">
        <v>29</v>
      </c>
      <c r="X11" s="20" t="s">
        <v>28</v>
      </c>
      <c r="Y11" s="19" t="s">
        <v>27</v>
      </c>
      <c r="Z11" s="19" t="s">
        <v>26</v>
      </c>
      <c r="AA11" s="19" t="s">
        <v>25</v>
      </c>
      <c r="AB11" s="19" t="s">
        <v>24</v>
      </c>
      <c r="AC11" s="19" t="s">
        <v>23</v>
      </c>
      <c r="AD11" s="12" t="s">
        <v>22</v>
      </c>
      <c r="AE11" s="12" t="s">
        <v>21</v>
      </c>
      <c r="AF11" s="16" t="s">
        <v>20</v>
      </c>
      <c r="AG11" s="16" t="s">
        <v>19</v>
      </c>
    </row>
    <row r="12" spans="1:33" ht="26.25" customHeight="1" x14ac:dyDescent="0.25">
      <c r="A12" s="13">
        <v>1</v>
      </c>
      <c r="B12" s="16" t="s">
        <v>18</v>
      </c>
      <c r="C12" s="15">
        <f t="shared" ref="C12:C29" si="0">D12*12</f>
        <v>146760</v>
      </c>
      <c r="D12" s="15">
        <v>12230</v>
      </c>
      <c r="E12" s="14">
        <v>2095</v>
      </c>
      <c r="F12" s="14">
        <f t="shared" ref="F12:F29" si="1">G12-D12</f>
        <v>2127.5537441520046</v>
      </c>
      <c r="G12" s="14">
        <f t="shared" ref="G12:G29" si="2">E12*$G$30</f>
        <v>14357.553744152005</v>
      </c>
      <c r="H12" s="9">
        <v>813</v>
      </c>
      <c r="I12" s="9">
        <v>786</v>
      </c>
      <c r="J12" s="9">
        <v>829</v>
      </c>
      <c r="K12" s="9">
        <v>805</v>
      </c>
      <c r="L12" s="9">
        <v>792</v>
      </c>
      <c r="M12" s="9">
        <v>790</v>
      </c>
      <c r="N12" s="9">
        <v>802</v>
      </c>
      <c r="O12" s="9">
        <v>758</v>
      </c>
      <c r="P12" s="9">
        <v>864</v>
      </c>
      <c r="Q12" s="9">
        <v>873</v>
      </c>
      <c r="R12" s="9">
        <v>876</v>
      </c>
      <c r="S12" s="9">
        <v>962</v>
      </c>
      <c r="T12" s="9">
        <v>924</v>
      </c>
      <c r="U12" s="9">
        <v>823</v>
      </c>
      <c r="V12" s="9"/>
      <c r="W12" s="9"/>
      <c r="X12" s="4">
        <f t="shared" ref="X12:X29" si="3">AVERAGE(H12:U12)</f>
        <v>835.5</v>
      </c>
      <c r="Y12" s="18">
        <v>8.4</v>
      </c>
      <c r="Z12" s="14">
        <v>1.54</v>
      </c>
      <c r="AA12" s="14">
        <v>6.16</v>
      </c>
      <c r="AB12" s="14"/>
      <c r="AC12" s="14"/>
      <c r="AD12" s="5">
        <f t="shared" ref="AD12:AD21" si="4">Y12+Z12+AA12+AB12+AC12</f>
        <v>16.100000000000001</v>
      </c>
      <c r="AE12" s="5">
        <f>Y12+Z12</f>
        <v>9.9400000000000013</v>
      </c>
      <c r="AF12" s="14">
        <f>E12*$AD$30</f>
        <v>46920.605882352946</v>
      </c>
      <c r="AG12" s="14">
        <f>X12*$AD$30</f>
        <v>18712.251176470589</v>
      </c>
    </row>
    <row r="13" spans="1:33" ht="25.5" x14ac:dyDescent="0.25">
      <c r="A13" s="13">
        <v>2</v>
      </c>
      <c r="B13" s="16" t="s">
        <v>17</v>
      </c>
      <c r="C13" s="15">
        <f t="shared" si="0"/>
        <v>627816</v>
      </c>
      <c r="D13" s="15">
        <v>52318</v>
      </c>
      <c r="E13" s="14">
        <v>6656</v>
      </c>
      <c r="F13" s="14">
        <f t="shared" si="1"/>
        <v>-6702.7839040211256</v>
      </c>
      <c r="G13" s="14">
        <f t="shared" si="2"/>
        <v>45615.216095978874</v>
      </c>
      <c r="H13" s="9">
        <v>2482</v>
      </c>
      <c r="I13" s="9">
        <v>2438</v>
      </c>
      <c r="J13" s="9">
        <v>2553</v>
      </c>
      <c r="K13" s="9">
        <v>2524</v>
      </c>
      <c r="L13" s="9">
        <v>2483</v>
      </c>
      <c r="M13" s="9">
        <v>2564</v>
      </c>
      <c r="N13" s="9">
        <v>2542</v>
      </c>
      <c r="O13" s="9">
        <v>2172</v>
      </c>
      <c r="P13" s="9">
        <v>2899</v>
      </c>
      <c r="Q13" s="9">
        <v>2936</v>
      </c>
      <c r="R13" s="9">
        <v>2723</v>
      </c>
      <c r="S13" s="9">
        <v>2961</v>
      </c>
      <c r="T13" s="9">
        <v>2757</v>
      </c>
      <c r="U13" s="9">
        <v>2761</v>
      </c>
      <c r="V13" s="9"/>
      <c r="W13" s="9"/>
      <c r="X13" s="4">
        <f t="shared" si="3"/>
        <v>2628.2142857142858</v>
      </c>
      <c r="Y13" s="14">
        <v>6.3</v>
      </c>
      <c r="Z13" s="14">
        <v>6.38</v>
      </c>
      <c r="AA13" s="14">
        <v>8.02</v>
      </c>
      <c r="AB13" s="14"/>
      <c r="AC13" s="14">
        <v>0.5</v>
      </c>
      <c r="AD13" s="5">
        <f t="shared" si="4"/>
        <v>21.2</v>
      </c>
      <c r="AE13" s="5">
        <f>Y13+Z13+AC13</f>
        <v>13.18</v>
      </c>
      <c r="AF13" s="14">
        <f t="shared" ref="AF12:AF29" si="5">E13*$AD$30</f>
        <v>149070.90823529413</v>
      </c>
      <c r="AG13" s="14">
        <f t="shared" ref="AG12:AG30" si="6">X13*$AD$30</f>
        <v>58862.723949579835</v>
      </c>
    </row>
    <row r="14" spans="1:33" ht="22.5" customHeight="1" x14ac:dyDescent="0.25">
      <c r="A14" s="13">
        <v>3</v>
      </c>
      <c r="B14" s="16" t="s">
        <v>16</v>
      </c>
      <c r="C14" s="15">
        <f t="shared" si="0"/>
        <v>40752</v>
      </c>
      <c r="D14" s="15">
        <v>3396</v>
      </c>
      <c r="E14" s="14">
        <v>483</v>
      </c>
      <c r="F14" s="14">
        <f t="shared" si="1"/>
        <v>-85.881404092879166</v>
      </c>
      <c r="G14" s="14">
        <f t="shared" si="2"/>
        <v>3310.1185959071208</v>
      </c>
      <c r="H14" s="9">
        <v>80</v>
      </c>
      <c r="I14" s="9">
        <v>88</v>
      </c>
      <c r="J14" s="9">
        <v>102</v>
      </c>
      <c r="K14" s="9">
        <v>99</v>
      </c>
      <c r="L14" s="9">
        <v>82</v>
      </c>
      <c r="M14" s="9">
        <v>97</v>
      </c>
      <c r="N14" s="9">
        <v>85</v>
      </c>
      <c r="O14" s="9">
        <v>91</v>
      </c>
      <c r="P14" s="9">
        <v>107</v>
      </c>
      <c r="Q14" s="9">
        <v>122</v>
      </c>
      <c r="R14" s="9">
        <v>101</v>
      </c>
      <c r="S14" s="9">
        <v>109</v>
      </c>
      <c r="T14" s="9">
        <v>86</v>
      </c>
      <c r="U14" s="9">
        <v>104</v>
      </c>
      <c r="V14" s="9"/>
      <c r="W14" s="9"/>
      <c r="X14" s="4">
        <f t="shared" si="3"/>
        <v>96.642857142857139</v>
      </c>
      <c r="Y14" s="14">
        <v>26.42</v>
      </c>
      <c r="Z14" s="14">
        <v>1.71</v>
      </c>
      <c r="AA14" s="14">
        <v>5.19</v>
      </c>
      <c r="AB14" s="14"/>
      <c r="AC14" s="14">
        <v>2.12</v>
      </c>
      <c r="AD14" s="5">
        <f t="shared" si="4"/>
        <v>35.44</v>
      </c>
      <c r="AE14" s="5">
        <f>Y14+Z14+AC14</f>
        <v>30.250000000000004</v>
      </c>
      <c r="AF14" s="14">
        <f t="shared" si="5"/>
        <v>10817.495294117647</v>
      </c>
      <c r="AG14" s="14">
        <f t="shared" si="6"/>
        <v>2164.4589075630252</v>
      </c>
    </row>
    <row r="15" spans="1:33" ht="24.75" customHeight="1" x14ac:dyDescent="0.25">
      <c r="A15" s="13">
        <v>4</v>
      </c>
      <c r="B15" s="16" t="s">
        <v>15</v>
      </c>
      <c r="C15" s="15">
        <f t="shared" si="0"/>
        <v>198216</v>
      </c>
      <c r="D15" s="15">
        <v>16518</v>
      </c>
      <c r="E15" s="14">
        <v>1974</v>
      </c>
      <c r="F15" s="14">
        <f t="shared" si="1"/>
        <v>-2989.6892167274182</v>
      </c>
      <c r="G15" s="14">
        <f t="shared" si="2"/>
        <v>13528.310783272582</v>
      </c>
      <c r="H15" s="9">
        <v>917</v>
      </c>
      <c r="I15" s="9">
        <v>917</v>
      </c>
      <c r="J15" s="9">
        <v>908</v>
      </c>
      <c r="K15" s="9">
        <v>916</v>
      </c>
      <c r="L15" s="9">
        <v>902</v>
      </c>
      <c r="M15" s="9">
        <v>898</v>
      </c>
      <c r="N15" s="9">
        <v>907</v>
      </c>
      <c r="O15" s="9">
        <v>825</v>
      </c>
      <c r="P15" s="9">
        <v>997</v>
      </c>
      <c r="Q15" s="9">
        <v>978</v>
      </c>
      <c r="R15" s="9">
        <v>923</v>
      </c>
      <c r="S15" s="9">
        <v>1004</v>
      </c>
      <c r="T15" s="9">
        <v>941</v>
      </c>
      <c r="U15" s="9">
        <v>929</v>
      </c>
      <c r="V15" s="9"/>
      <c r="W15" s="9"/>
      <c r="X15" s="4">
        <f t="shared" si="3"/>
        <v>925.85714285714289</v>
      </c>
      <c r="Y15" s="14">
        <v>8.4600000000000009</v>
      </c>
      <c r="Z15" s="14">
        <v>4.18</v>
      </c>
      <c r="AA15" s="14">
        <v>5.87</v>
      </c>
      <c r="AB15" s="14"/>
      <c r="AC15" s="14">
        <v>-0.43</v>
      </c>
      <c r="AD15" s="5">
        <f t="shared" si="4"/>
        <v>18.080000000000002</v>
      </c>
      <c r="AE15" s="5">
        <f>Z15+Y15+AC15</f>
        <v>12.21</v>
      </c>
      <c r="AF15" s="14">
        <f t="shared" si="5"/>
        <v>44210.632941176475</v>
      </c>
      <c r="AG15" s="14">
        <f t="shared" si="6"/>
        <v>20735.932268907567</v>
      </c>
    </row>
    <row r="16" spans="1:33" x14ac:dyDescent="0.25">
      <c r="A16" s="13">
        <v>5</v>
      </c>
      <c r="B16" s="16" t="s">
        <v>14</v>
      </c>
      <c r="C16" s="15">
        <f t="shared" si="0"/>
        <v>78396</v>
      </c>
      <c r="D16" s="15">
        <v>6533</v>
      </c>
      <c r="E16" s="14">
        <v>1315</v>
      </c>
      <c r="F16" s="14">
        <f t="shared" si="1"/>
        <v>2479.0206079044801</v>
      </c>
      <c r="G16" s="14">
        <f t="shared" si="2"/>
        <v>9012.0206079044801</v>
      </c>
      <c r="H16" s="9">
        <v>440</v>
      </c>
      <c r="I16" s="9">
        <v>424</v>
      </c>
      <c r="J16" s="9">
        <v>440</v>
      </c>
      <c r="K16" s="9">
        <v>425</v>
      </c>
      <c r="L16" s="9">
        <v>438</v>
      </c>
      <c r="M16" s="9">
        <v>435</v>
      </c>
      <c r="N16" s="9">
        <v>458</v>
      </c>
      <c r="O16" s="9">
        <v>424</v>
      </c>
      <c r="P16" s="9">
        <v>457</v>
      </c>
      <c r="Q16" s="9">
        <v>464</v>
      </c>
      <c r="R16" s="9">
        <v>429</v>
      </c>
      <c r="S16" s="9">
        <v>464</v>
      </c>
      <c r="T16" s="9">
        <v>457</v>
      </c>
      <c r="U16" s="9">
        <v>437</v>
      </c>
      <c r="V16" s="9"/>
      <c r="W16" s="9"/>
      <c r="X16" s="4">
        <f t="shared" si="3"/>
        <v>442.28571428571428</v>
      </c>
      <c r="Y16" s="9">
        <v>8</v>
      </c>
      <c r="Z16" s="9">
        <v>8</v>
      </c>
      <c r="AA16" s="9">
        <v>15.83</v>
      </c>
      <c r="AB16" s="9"/>
      <c r="AC16" s="9"/>
      <c r="AD16" s="5">
        <f t="shared" si="4"/>
        <v>31.83</v>
      </c>
      <c r="AE16" s="5">
        <f>Y16+Z16</f>
        <v>16</v>
      </c>
      <c r="AF16" s="14">
        <f t="shared" si="5"/>
        <v>29451.358823529416</v>
      </c>
      <c r="AG16" s="14">
        <f t="shared" si="6"/>
        <v>9905.6389915966392</v>
      </c>
    </row>
    <row r="17" spans="1:33" ht="25.5" x14ac:dyDescent="0.25">
      <c r="A17" s="13">
        <v>6</v>
      </c>
      <c r="B17" s="16" t="s">
        <v>13</v>
      </c>
      <c r="C17" s="15">
        <f t="shared" si="0"/>
        <v>84924</v>
      </c>
      <c r="D17" s="15">
        <v>7077</v>
      </c>
      <c r="E17" s="14">
        <v>1028</v>
      </c>
      <c r="F17" s="14">
        <f t="shared" si="1"/>
        <v>-31.86145633018532</v>
      </c>
      <c r="G17" s="14">
        <f t="shared" si="2"/>
        <v>7045.1385436698147</v>
      </c>
      <c r="H17" s="9">
        <v>525</v>
      </c>
      <c r="I17" s="9">
        <v>492</v>
      </c>
      <c r="J17" s="9">
        <v>555</v>
      </c>
      <c r="K17" s="9">
        <v>530</v>
      </c>
      <c r="L17" s="9">
        <v>532</v>
      </c>
      <c r="M17" s="9">
        <v>548</v>
      </c>
      <c r="N17" s="9">
        <v>535</v>
      </c>
      <c r="O17" s="9">
        <v>533</v>
      </c>
      <c r="P17" s="9">
        <v>572</v>
      </c>
      <c r="Q17" s="9">
        <v>576</v>
      </c>
      <c r="R17" s="9">
        <v>523</v>
      </c>
      <c r="S17" s="9">
        <v>275</v>
      </c>
      <c r="T17" s="9">
        <v>521</v>
      </c>
      <c r="U17" s="9">
        <v>527</v>
      </c>
      <c r="V17" s="9"/>
      <c r="W17" s="9"/>
      <c r="X17" s="4">
        <f t="shared" si="3"/>
        <v>517.42857142857144</v>
      </c>
      <c r="Y17" s="9">
        <v>2.5299999999999998</v>
      </c>
      <c r="Z17" s="9">
        <v>9.5500000000000007</v>
      </c>
      <c r="AA17" s="9">
        <v>11</v>
      </c>
      <c r="AB17" s="9"/>
      <c r="AC17" s="9"/>
      <c r="AD17" s="5">
        <f t="shared" si="4"/>
        <v>23.08</v>
      </c>
      <c r="AE17" s="5">
        <f>Y17+Z17</f>
        <v>12.08</v>
      </c>
      <c r="AF17" s="14">
        <f t="shared" si="5"/>
        <v>23023.571764705885</v>
      </c>
      <c r="AG17" s="14">
        <f t="shared" si="6"/>
        <v>11588.573781512607</v>
      </c>
    </row>
    <row r="18" spans="1:33" ht="24.75" customHeight="1" x14ac:dyDescent="0.25">
      <c r="A18" s="13">
        <v>7</v>
      </c>
      <c r="B18" s="16" t="s">
        <v>12</v>
      </c>
      <c r="C18" s="15">
        <f t="shared" si="0"/>
        <v>331956</v>
      </c>
      <c r="D18" s="15">
        <v>27663</v>
      </c>
      <c r="E18" s="14">
        <v>3875</v>
      </c>
      <c r="F18" s="14">
        <f t="shared" si="1"/>
        <v>-1106.6655090267195</v>
      </c>
      <c r="G18" s="14">
        <f t="shared" si="2"/>
        <v>26556.33449097328</v>
      </c>
      <c r="H18" s="9">
        <v>1134</v>
      </c>
      <c r="I18" s="9">
        <v>1192</v>
      </c>
      <c r="J18" s="9">
        <v>1223</v>
      </c>
      <c r="K18" s="9">
        <v>1134</v>
      </c>
      <c r="L18" s="9">
        <v>1189</v>
      </c>
      <c r="M18" s="9">
        <v>1214</v>
      </c>
      <c r="N18" s="9">
        <v>1170</v>
      </c>
      <c r="O18" s="9">
        <v>1114</v>
      </c>
      <c r="P18" s="9">
        <v>1308</v>
      </c>
      <c r="Q18" s="9">
        <v>1180</v>
      </c>
      <c r="R18" s="9">
        <v>1139</v>
      </c>
      <c r="S18" s="9">
        <v>967</v>
      </c>
      <c r="T18" s="9">
        <v>1173</v>
      </c>
      <c r="U18" s="9">
        <v>1310</v>
      </c>
      <c r="V18" s="9"/>
      <c r="W18" s="9"/>
      <c r="X18" s="4">
        <f t="shared" si="3"/>
        <v>1174.7857142857142</v>
      </c>
      <c r="Y18" s="9">
        <v>12.57</v>
      </c>
      <c r="Z18" s="9">
        <v>2.13</v>
      </c>
      <c r="AA18" s="9">
        <v>10.44</v>
      </c>
      <c r="AB18" s="9"/>
      <c r="AC18" s="9">
        <v>0.56000000000000005</v>
      </c>
      <c r="AD18" s="5">
        <f t="shared" si="4"/>
        <v>25.7</v>
      </c>
      <c r="AE18" s="5">
        <f>Y18+Z18</f>
        <v>14.7</v>
      </c>
      <c r="AF18" s="14">
        <f t="shared" si="5"/>
        <v>86786.323529411777</v>
      </c>
      <c r="AG18" s="14">
        <f t="shared" si="6"/>
        <v>26311.053697478994</v>
      </c>
    </row>
    <row r="19" spans="1:33" x14ac:dyDescent="0.25">
      <c r="A19" s="13">
        <v>8</v>
      </c>
      <c r="B19" s="16" t="s">
        <v>11</v>
      </c>
      <c r="C19" s="15">
        <f t="shared" si="0"/>
        <v>185028</v>
      </c>
      <c r="D19" s="15">
        <v>15419</v>
      </c>
      <c r="E19" s="14">
        <v>910</v>
      </c>
      <c r="F19" s="14">
        <f t="shared" si="1"/>
        <v>-9182.5446743778884</v>
      </c>
      <c r="G19" s="14">
        <f t="shared" si="2"/>
        <v>6236.4553256221116</v>
      </c>
      <c r="H19" s="9">
        <v>567</v>
      </c>
      <c r="I19" s="9">
        <v>538</v>
      </c>
      <c r="J19" s="9">
        <v>575</v>
      </c>
      <c r="K19" s="9">
        <v>566</v>
      </c>
      <c r="L19" s="9">
        <v>557</v>
      </c>
      <c r="M19" s="9">
        <v>583</v>
      </c>
      <c r="N19" s="9">
        <v>553</v>
      </c>
      <c r="O19" s="9">
        <v>541</v>
      </c>
      <c r="P19" s="9">
        <v>543</v>
      </c>
      <c r="Q19" s="9">
        <v>595</v>
      </c>
      <c r="R19" s="9">
        <v>587</v>
      </c>
      <c r="S19" s="9">
        <v>638</v>
      </c>
      <c r="T19" s="9">
        <v>555</v>
      </c>
      <c r="U19" s="9">
        <v>610</v>
      </c>
      <c r="V19" s="9"/>
      <c r="W19" s="9"/>
      <c r="X19" s="4">
        <f t="shared" si="3"/>
        <v>572</v>
      </c>
      <c r="Y19" s="9">
        <v>6.13</v>
      </c>
      <c r="Z19" s="9">
        <v>3.09</v>
      </c>
      <c r="AA19" s="9">
        <v>8.81</v>
      </c>
      <c r="AB19" s="9"/>
      <c r="AC19" s="9">
        <v>3.61</v>
      </c>
      <c r="AD19" s="5">
        <f t="shared" si="4"/>
        <v>21.64</v>
      </c>
      <c r="AE19" s="5">
        <f>Y19+Z19+AC19</f>
        <v>12.829999999999998</v>
      </c>
      <c r="AF19" s="14">
        <f t="shared" si="5"/>
        <v>20380.78823529412</v>
      </c>
      <c r="AG19" s="14">
        <f t="shared" si="6"/>
        <v>12810.781176470589</v>
      </c>
    </row>
    <row r="20" spans="1:33" ht="25.5" x14ac:dyDescent="0.25">
      <c r="A20" s="13">
        <v>9</v>
      </c>
      <c r="B20" s="16" t="s">
        <v>10</v>
      </c>
      <c r="C20" s="15">
        <f t="shared" si="0"/>
        <v>27204</v>
      </c>
      <c r="D20" s="15">
        <v>2267</v>
      </c>
      <c r="E20" s="14">
        <v>257</v>
      </c>
      <c r="F20" s="14">
        <f t="shared" si="1"/>
        <v>-505.71536408254633</v>
      </c>
      <c r="G20" s="14">
        <f t="shared" si="2"/>
        <v>1761.2846359174537</v>
      </c>
      <c r="H20" s="9">
        <v>83</v>
      </c>
      <c r="I20" s="9">
        <v>76</v>
      </c>
      <c r="J20" s="9">
        <v>73</v>
      </c>
      <c r="K20" s="9">
        <v>73</v>
      </c>
      <c r="L20" s="9">
        <v>79</v>
      </c>
      <c r="M20" s="9">
        <v>74</v>
      </c>
      <c r="N20" s="9">
        <v>86</v>
      </c>
      <c r="O20" s="9">
        <v>78</v>
      </c>
      <c r="P20" s="9">
        <v>87</v>
      </c>
      <c r="Q20" s="9">
        <v>90</v>
      </c>
      <c r="R20" s="9">
        <v>91</v>
      </c>
      <c r="S20" s="9">
        <v>91</v>
      </c>
      <c r="T20" s="9">
        <v>90</v>
      </c>
      <c r="U20" s="9">
        <v>87</v>
      </c>
      <c r="V20" s="9"/>
      <c r="W20" s="9"/>
      <c r="X20" s="4">
        <f t="shared" si="3"/>
        <v>82.714285714285708</v>
      </c>
      <c r="Y20" s="9">
        <v>15.1</v>
      </c>
      <c r="Z20" s="9">
        <v>3.17</v>
      </c>
      <c r="AA20" s="9">
        <v>4.28</v>
      </c>
      <c r="AB20" s="9"/>
      <c r="AC20" s="9">
        <v>-1.54</v>
      </c>
      <c r="AD20" s="5">
        <f t="shared" si="4"/>
        <v>21.01</v>
      </c>
      <c r="AE20" s="5">
        <f>Y20+Z20+AC20</f>
        <v>16.73</v>
      </c>
      <c r="AF20" s="14">
        <f t="shared" si="5"/>
        <v>5755.8929411764711</v>
      </c>
      <c r="AG20" s="14">
        <f t="shared" si="6"/>
        <v>1852.5080672268907</v>
      </c>
    </row>
    <row r="21" spans="1:33" ht="24" customHeight="1" x14ac:dyDescent="0.25">
      <c r="A21" s="13">
        <v>10</v>
      </c>
      <c r="B21" s="16" t="s">
        <v>9</v>
      </c>
      <c r="C21" s="15">
        <f t="shared" si="0"/>
        <v>119928</v>
      </c>
      <c r="D21" s="15">
        <v>9994</v>
      </c>
      <c r="E21" s="14">
        <v>2625</v>
      </c>
      <c r="F21" s="14">
        <f t="shared" si="1"/>
        <v>7995.774977756093</v>
      </c>
      <c r="G21" s="14">
        <f t="shared" si="2"/>
        <v>17989.774977756093</v>
      </c>
      <c r="H21" s="9">
        <v>582</v>
      </c>
      <c r="I21" s="9">
        <v>622</v>
      </c>
      <c r="J21" s="9">
        <v>631</v>
      </c>
      <c r="K21" s="9">
        <v>594</v>
      </c>
      <c r="L21" s="9">
        <v>598</v>
      </c>
      <c r="M21" s="9">
        <v>563</v>
      </c>
      <c r="N21" s="9">
        <v>600</v>
      </c>
      <c r="O21" s="9">
        <v>573</v>
      </c>
      <c r="P21" s="9">
        <v>616</v>
      </c>
      <c r="Q21" s="9">
        <v>630</v>
      </c>
      <c r="R21" s="9">
        <v>636</v>
      </c>
      <c r="S21" s="9">
        <v>614</v>
      </c>
      <c r="T21" s="9">
        <v>646</v>
      </c>
      <c r="U21" s="9">
        <v>628</v>
      </c>
      <c r="V21" s="9"/>
      <c r="W21" s="9"/>
      <c r="X21" s="4">
        <f t="shared" si="3"/>
        <v>609.5</v>
      </c>
      <c r="Y21" s="9">
        <v>4.3899999999999997</v>
      </c>
      <c r="Z21" s="9">
        <v>2.31</v>
      </c>
      <c r="AA21" s="9">
        <v>9.6999999999999993</v>
      </c>
      <c r="AB21" s="9"/>
      <c r="AC21" s="9">
        <v>0.86</v>
      </c>
      <c r="AD21" s="5">
        <f t="shared" si="4"/>
        <v>17.259999999999998</v>
      </c>
      <c r="AE21" s="5">
        <f>Y21+Z21+AC21</f>
        <v>7.56</v>
      </c>
      <c r="AF21" s="14">
        <f t="shared" si="5"/>
        <v>58790.73529411765</v>
      </c>
      <c r="AG21" s="14">
        <f t="shared" si="6"/>
        <v>13650.648823529413</v>
      </c>
    </row>
    <row r="22" spans="1:33" x14ac:dyDescent="0.25">
      <c r="A22" s="13">
        <v>11</v>
      </c>
      <c r="B22" s="16" t="s">
        <v>8</v>
      </c>
      <c r="C22" s="17">
        <f t="shared" si="0"/>
        <v>119928</v>
      </c>
      <c r="D22" s="17">
        <v>9994</v>
      </c>
      <c r="E22" s="9">
        <v>1332</v>
      </c>
      <c r="F22" s="9">
        <f t="shared" si="1"/>
        <v>-865.47418271576498</v>
      </c>
      <c r="G22" s="9">
        <f t="shared" si="2"/>
        <v>9128.525817284235</v>
      </c>
      <c r="H22" s="9">
        <v>408</v>
      </c>
      <c r="I22" s="9">
        <v>389</v>
      </c>
      <c r="J22" s="9">
        <v>416</v>
      </c>
      <c r="K22" s="9">
        <v>395</v>
      </c>
      <c r="L22" s="9">
        <v>410</v>
      </c>
      <c r="M22" s="9">
        <v>399</v>
      </c>
      <c r="N22" s="9">
        <v>411</v>
      </c>
      <c r="O22" s="9">
        <v>417</v>
      </c>
      <c r="P22" s="9">
        <v>444</v>
      </c>
      <c r="Q22" s="9">
        <v>458</v>
      </c>
      <c r="R22" s="9">
        <v>431</v>
      </c>
      <c r="S22" s="9">
        <v>431</v>
      </c>
      <c r="T22" s="9">
        <v>434</v>
      </c>
      <c r="U22" s="9">
        <v>436</v>
      </c>
      <c r="V22" s="9"/>
      <c r="W22" s="9"/>
      <c r="X22" s="4">
        <f t="shared" si="3"/>
        <v>419.92857142857144</v>
      </c>
      <c r="Y22" s="9"/>
      <c r="Z22" s="9"/>
      <c r="AA22" s="9"/>
      <c r="AB22" s="9"/>
      <c r="AC22" s="9"/>
      <c r="AD22" s="4"/>
      <c r="AE22" s="4"/>
      <c r="AF22" s="14">
        <f t="shared" si="5"/>
        <v>29832.098823529413</v>
      </c>
      <c r="AG22" s="14">
        <f t="shared" si="6"/>
        <v>9404.9178991596655</v>
      </c>
    </row>
    <row r="23" spans="1:33" ht="25.5" x14ac:dyDescent="0.25">
      <c r="A23" s="13">
        <v>12</v>
      </c>
      <c r="B23" s="16" t="s">
        <v>7</v>
      </c>
      <c r="C23" s="15">
        <f t="shared" si="0"/>
        <v>61488</v>
      </c>
      <c r="D23" s="15">
        <v>5124</v>
      </c>
      <c r="E23" s="14">
        <v>715</v>
      </c>
      <c r="F23" s="14">
        <f t="shared" si="1"/>
        <v>-223.9279584397691</v>
      </c>
      <c r="G23" s="14">
        <f t="shared" si="2"/>
        <v>4900.0720415602309</v>
      </c>
      <c r="H23" s="9">
        <v>151</v>
      </c>
      <c r="I23" s="9">
        <v>145</v>
      </c>
      <c r="J23" s="9">
        <v>151</v>
      </c>
      <c r="K23" s="9">
        <v>140</v>
      </c>
      <c r="L23" s="9">
        <v>149</v>
      </c>
      <c r="M23" s="9">
        <v>155</v>
      </c>
      <c r="N23" s="9">
        <v>151</v>
      </c>
      <c r="O23" s="9">
        <v>150</v>
      </c>
      <c r="P23" s="9">
        <v>160</v>
      </c>
      <c r="Q23" s="9">
        <v>169</v>
      </c>
      <c r="R23" s="9">
        <v>156</v>
      </c>
      <c r="S23" s="9">
        <v>174</v>
      </c>
      <c r="T23" s="9">
        <v>173</v>
      </c>
      <c r="U23" s="9">
        <v>158</v>
      </c>
      <c r="V23" s="9"/>
      <c r="W23" s="9"/>
      <c r="X23" s="4">
        <f t="shared" si="3"/>
        <v>155.85714285714286</v>
      </c>
      <c r="Y23" s="9">
        <v>13.48</v>
      </c>
      <c r="Z23" s="9">
        <v>12.04</v>
      </c>
      <c r="AA23" s="9">
        <v>9.5299999999999994</v>
      </c>
      <c r="AB23" s="9"/>
      <c r="AC23" s="9">
        <v>3.84</v>
      </c>
      <c r="AD23" s="5">
        <f t="shared" ref="AD23:AD29" si="7">Y23+Z23+AA23+AB23+AC23</f>
        <v>38.89</v>
      </c>
      <c r="AE23" s="5">
        <f>Y23+Z23+AC23</f>
        <v>29.36</v>
      </c>
      <c r="AF23" s="14">
        <f t="shared" si="5"/>
        <v>16013.476470588237</v>
      </c>
      <c r="AG23" s="14">
        <f t="shared" si="6"/>
        <v>3490.6499159663867</v>
      </c>
    </row>
    <row r="24" spans="1:33" ht="25.5" x14ac:dyDescent="0.25">
      <c r="A24" s="13">
        <v>13</v>
      </c>
      <c r="B24" s="16" t="s">
        <v>6</v>
      </c>
      <c r="C24" s="15">
        <f t="shared" si="0"/>
        <v>157920</v>
      </c>
      <c r="D24" s="15">
        <v>13160</v>
      </c>
      <c r="E24" s="14">
        <v>1627</v>
      </c>
      <c r="F24" s="14">
        <f t="shared" si="1"/>
        <v>-2009.766137596509</v>
      </c>
      <c r="G24" s="14">
        <f t="shared" si="2"/>
        <v>11150.233862403491</v>
      </c>
      <c r="H24" s="9">
        <v>734</v>
      </c>
      <c r="I24" s="9">
        <v>760</v>
      </c>
      <c r="J24" s="9">
        <v>771</v>
      </c>
      <c r="K24" s="9">
        <v>684</v>
      </c>
      <c r="L24" s="9">
        <v>761</v>
      </c>
      <c r="M24" s="9">
        <v>763</v>
      </c>
      <c r="N24" s="9">
        <v>737</v>
      </c>
      <c r="O24" s="9">
        <v>749</v>
      </c>
      <c r="P24" s="9">
        <v>826</v>
      </c>
      <c r="Q24" s="9">
        <v>845</v>
      </c>
      <c r="R24" s="9">
        <v>778</v>
      </c>
      <c r="S24" s="9">
        <v>835</v>
      </c>
      <c r="T24" s="9">
        <v>803</v>
      </c>
      <c r="U24" s="9">
        <v>783</v>
      </c>
      <c r="V24" s="9"/>
      <c r="W24" s="9"/>
      <c r="X24" s="4">
        <f t="shared" si="3"/>
        <v>773.5</v>
      </c>
      <c r="Y24" s="9">
        <v>8.7799999999999994</v>
      </c>
      <c r="Z24" s="9">
        <v>1.44</v>
      </c>
      <c r="AA24" s="9">
        <v>8.1</v>
      </c>
      <c r="AB24" s="9"/>
      <c r="AC24" s="9"/>
      <c r="AD24" s="5">
        <f t="shared" si="7"/>
        <v>18.32</v>
      </c>
      <c r="AE24" s="5">
        <f>Y24</f>
        <v>8.7799999999999994</v>
      </c>
      <c r="AF24" s="14">
        <f t="shared" si="5"/>
        <v>36439.057647058828</v>
      </c>
      <c r="AG24" s="14">
        <f t="shared" si="6"/>
        <v>17323.670000000002</v>
      </c>
    </row>
    <row r="25" spans="1:33" ht="25.5" x14ac:dyDescent="0.25">
      <c r="A25" s="13">
        <v>14</v>
      </c>
      <c r="B25" s="16" t="s">
        <v>5</v>
      </c>
      <c r="C25" s="15">
        <f t="shared" si="0"/>
        <v>193008</v>
      </c>
      <c r="D25" s="15">
        <v>16084</v>
      </c>
      <c r="E25" s="14">
        <v>3184</v>
      </c>
      <c r="F25" s="14">
        <f t="shared" si="1"/>
        <v>5736.7403920668185</v>
      </c>
      <c r="G25" s="14">
        <f t="shared" si="2"/>
        <v>21820.740392066818</v>
      </c>
      <c r="H25" s="9">
        <v>965</v>
      </c>
      <c r="I25" s="9">
        <v>965</v>
      </c>
      <c r="J25" s="9">
        <v>965</v>
      </c>
      <c r="K25" s="9">
        <v>965</v>
      </c>
      <c r="L25" s="9">
        <v>965</v>
      </c>
      <c r="M25" s="9">
        <v>965</v>
      </c>
      <c r="N25" s="9">
        <v>965</v>
      </c>
      <c r="O25" s="9">
        <v>965</v>
      </c>
      <c r="P25" s="9">
        <v>965</v>
      </c>
      <c r="Q25" s="9">
        <v>965</v>
      </c>
      <c r="R25" s="9">
        <v>965</v>
      </c>
      <c r="S25" s="9">
        <v>965</v>
      </c>
      <c r="T25" s="9">
        <v>965</v>
      </c>
      <c r="U25" s="9">
        <v>965</v>
      </c>
      <c r="V25" s="9"/>
      <c r="W25" s="9"/>
      <c r="X25" s="4">
        <f t="shared" si="3"/>
        <v>965</v>
      </c>
      <c r="Y25" s="9">
        <v>7.86</v>
      </c>
      <c r="Z25" s="9">
        <v>3.17</v>
      </c>
      <c r="AA25" s="9">
        <v>5.33</v>
      </c>
      <c r="AB25" s="9"/>
      <c r="AC25" s="9">
        <v>0.74</v>
      </c>
      <c r="AD25" s="5">
        <f t="shared" si="7"/>
        <v>17.099999999999998</v>
      </c>
      <c r="AE25" s="5">
        <f>Y25+Z25</f>
        <v>11.030000000000001</v>
      </c>
      <c r="AF25" s="14">
        <f t="shared" si="5"/>
        <v>71310.362352941185</v>
      </c>
      <c r="AG25" s="14">
        <f t="shared" si="6"/>
        <v>21612.594117647059</v>
      </c>
    </row>
    <row r="26" spans="1:33" x14ac:dyDescent="0.25">
      <c r="A26" s="13">
        <v>15</v>
      </c>
      <c r="B26" s="16" t="s">
        <v>4</v>
      </c>
      <c r="C26" s="15">
        <f t="shared" si="0"/>
        <v>84012</v>
      </c>
      <c r="D26" s="15">
        <v>7001</v>
      </c>
      <c r="E26" s="14">
        <v>1020</v>
      </c>
      <c r="F26" s="14">
        <f t="shared" si="1"/>
        <v>-10.687437214775855</v>
      </c>
      <c r="G26" s="14">
        <f t="shared" si="2"/>
        <v>6990.3125627852241</v>
      </c>
      <c r="H26" s="9">
        <v>348</v>
      </c>
      <c r="I26" s="9">
        <v>350</v>
      </c>
      <c r="J26" s="9">
        <v>381</v>
      </c>
      <c r="K26" s="9">
        <v>352</v>
      </c>
      <c r="L26" s="9">
        <v>359</v>
      </c>
      <c r="M26" s="9">
        <v>357</v>
      </c>
      <c r="N26" s="9">
        <v>384</v>
      </c>
      <c r="O26" s="9">
        <v>301</v>
      </c>
      <c r="P26" s="9">
        <v>416</v>
      </c>
      <c r="Q26" s="9">
        <v>396</v>
      </c>
      <c r="R26" s="9">
        <v>353</v>
      </c>
      <c r="S26" s="9">
        <v>409</v>
      </c>
      <c r="T26" s="9">
        <v>376</v>
      </c>
      <c r="U26" s="9">
        <v>395</v>
      </c>
      <c r="V26" s="9"/>
      <c r="W26" s="9"/>
      <c r="X26" s="4">
        <f t="shared" si="3"/>
        <v>369.78571428571428</v>
      </c>
      <c r="Y26" s="9">
        <v>5.0199999999999996</v>
      </c>
      <c r="Z26" s="9">
        <v>4.58</v>
      </c>
      <c r="AA26" s="9">
        <v>4.92</v>
      </c>
      <c r="AB26" s="9"/>
      <c r="AC26" s="9">
        <v>4.83</v>
      </c>
      <c r="AD26" s="5">
        <f t="shared" si="7"/>
        <v>19.350000000000001</v>
      </c>
      <c r="AE26" s="5">
        <f>Y26+Z26+AC26</f>
        <v>14.43</v>
      </c>
      <c r="AF26" s="14">
        <f t="shared" si="5"/>
        <v>22844.400000000001</v>
      </c>
      <c r="AG26" s="14">
        <f t="shared" si="6"/>
        <v>8281.8948739495809</v>
      </c>
    </row>
    <row r="27" spans="1:33" ht="23.25" customHeight="1" x14ac:dyDescent="0.25">
      <c r="A27" s="13">
        <v>16</v>
      </c>
      <c r="B27" s="16" t="s">
        <v>3</v>
      </c>
      <c r="C27" s="15">
        <f t="shared" si="0"/>
        <v>246972</v>
      </c>
      <c r="D27" s="15">
        <v>20581</v>
      </c>
      <c r="E27" s="14">
        <v>3069</v>
      </c>
      <c r="F27" s="14">
        <f t="shared" si="1"/>
        <v>451.61691685083861</v>
      </c>
      <c r="G27" s="14">
        <f t="shared" si="2"/>
        <v>21032.616916850839</v>
      </c>
      <c r="H27" s="9">
        <v>896</v>
      </c>
      <c r="I27" s="9">
        <v>1004</v>
      </c>
      <c r="J27" s="9">
        <v>960</v>
      </c>
      <c r="K27" s="9">
        <v>965</v>
      </c>
      <c r="L27" s="9">
        <v>947</v>
      </c>
      <c r="M27" s="9">
        <v>985</v>
      </c>
      <c r="N27" s="9">
        <v>976</v>
      </c>
      <c r="O27" s="9">
        <v>789</v>
      </c>
      <c r="P27" s="9">
        <v>1041</v>
      </c>
      <c r="Q27" s="9">
        <v>1071</v>
      </c>
      <c r="R27" s="9">
        <v>974</v>
      </c>
      <c r="S27" s="9">
        <v>1046</v>
      </c>
      <c r="T27" s="9">
        <v>1052</v>
      </c>
      <c r="U27" s="9">
        <v>1089</v>
      </c>
      <c r="V27" s="9"/>
      <c r="W27" s="9"/>
      <c r="X27" s="4">
        <f t="shared" si="3"/>
        <v>985.35714285714289</v>
      </c>
      <c r="Y27" s="9">
        <v>8.42</v>
      </c>
      <c r="Z27" s="9">
        <v>8.2200000000000006</v>
      </c>
      <c r="AA27" s="9">
        <v>8.69</v>
      </c>
      <c r="AB27" s="9"/>
      <c r="AC27" s="9">
        <v>1.1200000000000001</v>
      </c>
      <c r="AD27" s="5">
        <f t="shared" si="7"/>
        <v>26.45</v>
      </c>
      <c r="AE27" s="5">
        <f>Y27+Z27+AC27</f>
        <v>17.760000000000002</v>
      </c>
      <c r="AF27" s="14">
        <f t="shared" si="5"/>
        <v>68734.768235294119</v>
      </c>
      <c r="AG27" s="14">
        <f t="shared" si="6"/>
        <v>22068.522268907567</v>
      </c>
    </row>
    <row r="28" spans="1:33" x14ac:dyDescent="0.25">
      <c r="A28" s="13">
        <v>17</v>
      </c>
      <c r="B28" s="16" t="s">
        <v>2</v>
      </c>
      <c r="C28" s="15">
        <f t="shared" si="0"/>
        <v>104640</v>
      </c>
      <c r="D28" s="15">
        <v>8720</v>
      </c>
      <c r="E28" s="14">
        <v>2067</v>
      </c>
      <c r="F28" s="14">
        <f t="shared" si="1"/>
        <v>5445.6628110559395</v>
      </c>
      <c r="G28" s="14">
        <f t="shared" si="2"/>
        <v>14165.66281105594</v>
      </c>
      <c r="H28" s="9">
        <v>649</v>
      </c>
      <c r="I28" s="9">
        <v>659</v>
      </c>
      <c r="J28" s="9">
        <v>644</v>
      </c>
      <c r="K28" s="9">
        <v>635</v>
      </c>
      <c r="L28" s="9">
        <v>640</v>
      </c>
      <c r="M28" s="9">
        <v>584</v>
      </c>
      <c r="N28" s="9">
        <v>586</v>
      </c>
      <c r="O28" s="9">
        <v>568</v>
      </c>
      <c r="P28" s="9">
        <v>689</v>
      </c>
      <c r="Q28" s="9">
        <v>687</v>
      </c>
      <c r="R28" s="9">
        <v>648</v>
      </c>
      <c r="S28" s="9">
        <v>786</v>
      </c>
      <c r="T28" s="9">
        <v>670</v>
      </c>
      <c r="U28" s="9">
        <v>713</v>
      </c>
      <c r="V28" s="9"/>
      <c r="W28" s="9"/>
      <c r="X28" s="4">
        <f t="shared" si="3"/>
        <v>654.14285714285711</v>
      </c>
      <c r="Y28" s="9">
        <v>4.95</v>
      </c>
      <c r="Z28" s="9">
        <v>2.99</v>
      </c>
      <c r="AA28" s="9">
        <v>3.41</v>
      </c>
      <c r="AB28" s="9"/>
      <c r="AC28" s="9">
        <v>1.9</v>
      </c>
      <c r="AD28" s="5">
        <f t="shared" si="7"/>
        <v>13.250000000000002</v>
      </c>
      <c r="AE28" s="5">
        <f>Y28+Z28+AC28</f>
        <v>9.84</v>
      </c>
      <c r="AF28" s="14">
        <f t="shared" si="5"/>
        <v>46293.504705882355</v>
      </c>
      <c r="AG28" s="14">
        <f t="shared" si="6"/>
        <v>14650.491260504203</v>
      </c>
    </row>
    <row r="29" spans="1:33" ht="21" customHeight="1" x14ac:dyDescent="0.25">
      <c r="A29" s="13">
        <v>18</v>
      </c>
      <c r="B29" s="16" t="s">
        <v>1</v>
      </c>
      <c r="C29" s="15">
        <f t="shared" si="0"/>
        <v>56340</v>
      </c>
      <c r="D29" s="15">
        <v>4695</v>
      </c>
      <c r="E29" s="14">
        <v>609</v>
      </c>
      <c r="F29" s="14">
        <f t="shared" si="1"/>
        <v>-521.37220516058642</v>
      </c>
      <c r="G29" s="14">
        <f t="shared" si="2"/>
        <v>4173.6277948394136</v>
      </c>
      <c r="H29" s="9">
        <v>256</v>
      </c>
      <c r="I29" s="9">
        <v>266</v>
      </c>
      <c r="J29" s="9">
        <v>263</v>
      </c>
      <c r="K29" s="9">
        <v>442</v>
      </c>
      <c r="L29" s="9">
        <v>248</v>
      </c>
      <c r="M29" s="9">
        <v>241</v>
      </c>
      <c r="N29" s="9">
        <v>256</v>
      </c>
      <c r="O29" s="9">
        <v>233</v>
      </c>
      <c r="P29" s="9">
        <v>279</v>
      </c>
      <c r="Q29" s="9">
        <v>271</v>
      </c>
      <c r="R29" s="9">
        <v>269</v>
      </c>
      <c r="S29" s="9">
        <v>265</v>
      </c>
      <c r="T29" s="9">
        <v>283</v>
      </c>
      <c r="U29" s="9">
        <v>227</v>
      </c>
      <c r="V29" s="9"/>
      <c r="W29" s="9"/>
      <c r="X29" s="4">
        <f t="shared" si="3"/>
        <v>271.35714285714283</v>
      </c>
      <c r="Y29" s="9">
        <v>6.96</v>
      </c>
      <c r="Z29" s="9">
        <v>3.37</v>
      </c>
      <c r="AA29" s="9">
        <v>5.71</v>
      </c>
      <c r="AB29" s="9"/>
      <c r="AC29" s="9"/>
      <c r="AD29" s="5">
        <f t="shared" si="7"/>
        <v>16.04</v>
      </c>
      <c r="AE29" s="5">
        <f>Y29+Z29</f>
        <v>10.33</v>
      </c>
      <c r="AF29" s="14">
        <f t="shared" si="5"/>
        <v>13639.450588235295</v>
      </c>
      <c r="AG29" s="14">
        <f t="shared" si="6"/>
        <v>6077.4422689075627</v>
      </c>
    </row>
    <row r="30" spans="1:33" x14ac:dyDescent="0.25">
      <c r="A30" s="13"/>
      <c r="B30" s="12" t="s">
        <v>0</v>
      </c>
      <c r="C30" s="11">
        <f>SUM(C12:C29)</f>
        <v>2865288</v>
      </c>
      <c r="D30" s="11"/>
      <c r="E30" s="10">
        <f>SUM(E12:E29)</f>
        <v>34841</v>
      </c>
      <c r="F30" s="10">
        <f>C30/E30</f>
        <v>82.238971326884993</v>
      </c>
      <c r="G30" s="10">
        <f>F30/12</f>
        <v>6.8532476105737494</v>
      </c>
      <c r="H30" s="5">
        <f t="shared" ref="H30:S30" si="8">SUM(H12:H29)</f>
        <v>12030</v>
      </c>
      <c r="I30" s="5">
        <f t="shared" si="8"/>
        <v>12111</v>
      </c>
      <c r="J30" s="4">
        <f t="shared" si="8"/>
        <v>12440</v>
      </c>
      <c r="K30" s="4">
        <f t="shared" si="8"/>
        <v>12244</v>
      </c>
      <c r="L30" s="4">
        <f t="shared" si="8"/>
        <v>12131</v>
      </c>
      <c r="M30" s="4">
        <f t="shared" si="8"/>
        <v>12215</v>
      </c>
      <c r="N30" s="4">
        <f t="shared" si="8"/>
        <v>12204</v>
      </c>
      <c r="O30" s="4">
        <f t="shared" si="8"/>
        <v>11281</v>
      </c>
      <c r="P30" s="4">
        <f t="shared" si="8"/>
        <v>13270</v>
      </c>
      <c r="Q30" s="4">
        <f t="shared" si="8"/>
        <v>13306</v>
      </c>
      <c r="R30" s="4">
        <f t="shared" si="8"/>
        <v>12602</v>
      </c>
      <c r="S30" s="4">
        <f t="shared" si="8"/>
        <v>12996</v>
      </c>
      <c r="T30" s="4"/>
      <c r="U30" s="4"/>
      <c r="V30" s="4"/>
      <c r="W30" s="4"/>
      <c r="X30" s="4">
        <f>SUM(X12:X29)</f>
        <v>12479.857142857143</v>
      </c>
      <c r="Y30" s="9"/>
      <c r="Z30" s="9"/>
      <c r="AA30" s="9"/>
      <c r="AB30" s="9"/>
      <c r="AC30" s="8"/>
      <c r="AD30" s="5">
        <f>AVERAGE(AD12:AD29)</f>
        <v>22.396470588235296</v>
      </c>
      <c r="AE30" s="5">
        <f>AVERAGE(AE12:AE29)</f>
        <v>14.530000000000003</v>
      </c>
      <c r="AF30" s="5">
        <f>SUM(AF12:AF29)</f>
        <v>780315.43176470604</v>
      </c>
      <c r="AG30" s="4">
        <f t="shared" si="6"/>
        <v>279504.75344537816</v>
      </c>
    </row>
    <row r="31" spans="1:33" x14ac:dyDescent="0.25">
      <c r="C31" s="7">
        <v>2865300</v>
      </c>
      <c r="D31" s="7"/>
      <c r="E31" s="7"/>
      <c r="F31" s="7"/>
      <c r="G31" s="7"/>
      <c r="H31" s="7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5">
        <f>MEDIAN(AD12:AD29)</f>
        <v>21.01</v>
      </c>
      <c r="AE31" s="5">
        <f>MEDIAN(AE12:AE29)</f>
        <v>12.829999999999998</v>
      </c>
      <c r="AF31" s="4">
        <f>AF30*12</f>
        <v>9363785.1811764725</v>
      </c>
      <c r="AG31" s="4">
        <f>AG30*12</f>
        <v>3354057.0413445379</v>
      </c>
    </row>
    <row r="32" spans="1:33" x14ac:dyDescent="0.25">
      <c r="AD32" s="3"/>
    </row>
    <row r="33" spans="5:33" x14ac:dyDescent="0.25">
      <c r="AG33" s="2"/>
    </row>
    <row r="34" spans="5:33" x14ac:dyDescent="0.25">
      <c r="E34" s="2"/>
      <c r="F34" s="2"/>
      <c r="G34" s="2"/>
    </row>
  </sheetData>
  <mergeCells count="5">
    <mergeCell ref="I1:K1"/>
    <mergeCell ref="A9:AE9"/>
    <mergeCell ref="H10:L10"/>
    <mergeCell ref="Y10:AC10"/>
    <mergeCell ref="F10:G10"/>
  </mergeCells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" sqref="A2:D2"/>
    </sheetView>
  </sheetViews>
  <sheetFormatPr defaultRowHeight="15" x14ac:dyDescent="0.25"/>
  <cols>
    <col min="1" max="1" width="4.85546875" style="1" customWidth="1"/>
    <col min="2" max="2" width="49.42578125" style="1" bestFit="1" customWidth="1"/>
    <col min="3" max="3" width="14.42578125" style="1" customWidth="1"/>
    <col min="4" max="4" width="11.7109375" style="1" customWidth="1"/>
    <col min="5" max="16384" width="9.140625" style="1"/>
  </cols>
  <sheetData>
    <row r="1" spans="1:4" x14ac:dyDescent="0.25">
      <c r="A1" s="59" t="s">
        <v>49</v>
      </c>
      <c r="B1" s="59"/>
      <c r="C1" s="59"/>
      <c r="D1" s="59"/>
    </row>
    <row r="2" spans="1:4" ht="25.5" x14ac:dyDescent="0.25">
      <c r="A2" s="13" t="s">
        <v>45</v>
      </c>
      <c r="B2" s="19" t="s">
        <v>44</v>
      </c>
      <c r="C2" s="19" t="s">
        <v>43</v>
      </c>
      <c r="D2" s="19" t="s">
        <v>42</v>
      </c>
    </row>
    <row r="3" spans="1:4" ht="26.25" customHeight="1" x14ac:dyDescent="0.25">
      <c r="A3" s="13">
        <v>1</v>
      </c>
      <c r="B3" s="16" t="s">
        <v>18</v>
      </c>
      <c r="C3" s="15">
        <f t="shared" ref="C3:C20" si="0">D3*12</f>
        <v>146760</v>
      </c>
      <c r="D3" s="15">
        <v>12230</v>
      </c>
    </row>
    <row r="4" spans="1:4" ht="25.5" x14ac:dyDescent="0.25">
      <c r="A4" s="13">
        <v>2</v>
      </c>
      <c r="B4" s="16" t="s">
        <v>17</v>
      </c>
      <c r="C4" s="15">
        <f t="shared" si="0"/>
        <v>627816</v>
      </c>
      <c r="D4" s="15">
        <v>52318</v>
      </c>
    </row>
    <row r="5" spans="1:4" ht="22.5" customHeight="1" x14ac:dyDescent="0.25">
      <c r="A5" s="13">
        <v>3</v>
      </c>
      <c r="B5" s="16" t="s">
        <v>16</v>
      </c>
      <c r="C5" s="15">
        <f t="shared" si="0"/>
        <v>40752</v>
      </c>
      <c r="D5" s="15">
        <v>3396</v>
      </c>
    </row>
    <row r="6" spans="1:4" ht="24.75" customHeight="1" x14ac:dyDescent="0.25">
      <c r="A6" s="13">
        <v>4</v>
      </c>
      <c r="B6" s="16" t="s">
        <v>15</v>
      </c>
      <c r="C6" s="15">
        <f t="shared" si="0"/>
        <v>198216</v>
      </c>
      <c r="D6" s="15">
        <v>16518</v>
      </c>
    </row>
    <row r="7" spans="1:4" x14ac:dyDescent="0.25">
      <c r="A7" s="13">
        <v>5</v>
      </c>
      <c r="B7" s="16" t="s">
        <v>14</v>
      </c>
      <c r="C7" s="15">
        <f t="shared" si="0"/>
        <v>78396</v>
      </c>
      <c r="D7" s="15">
        <v>6533</v>
      </c>
    </row>
    <row r="8" spans="1:4" ht="25.5" x14ac:dyDescent="0.25">
      <c r="A8" s="13">
        <v>6</v>
      </c>
      <c r="B8" s="16" t="s">
        <v>13</v>
      </c>
      <c r="C8" s="15">
        <f t="shared" si="0"/>
        <v>84924</v>
      </c>
      <c r="D8" s="15">
        <v>7077</v>
      </c>
    </row>
    <row r="9" spans="1:4" ht="24.75" customHeight="1" x14ac:dyDescent="0.25">
      <c r="A9" s="13">
        <v>7</v>
      </c>
      <c r="B9" s="16" t="s">
        <v>12</v>
      </c>
      <c r="C9" s="15">
        <f t="shared" si="0"/>
        <v>331956</v>
      </c>
      <c r="D9" s="15">
        <v>27663</v>
      </c>
    </row>
    <row r="10" spans="1:4" x14ac:dyDescent="0.25">
      <c r="A10" s="13">
        <v>8</v>
      </c>
      <c r="B10" s="16" t="s">
        <v>11</v>
      </c>
      <c r="C10" s="15">
        <f t="shared" si="0"/>
        <v>185028</v>
      </c>
      <c r="D10" s="15">
        <v>15419</v>
      </c>
    </row>
    <row r="11" spans="1:4" ht="25.5" x14ac:dyDescent="0.25">
      <c r="A11" s="13">
        <v>9</v>
      </c>
      <c r="B11" s="16" t="s">
        <v>10</v>
      </c>
      <c r="C11" s="15">
        <f t="shared" si="0"/>
        <v>27204</v>
      </c>
      <c r="D11" s="15">
        <v>2267</v>
      </c>
    </row>
    <row r="12" spans="1:4" ht="24" customHeight="1" x14ac:dyDescent="0.25">
      <c r="A12" s="13">
        <v>10</v>
      </c>
      <c r="B12" s="16" t="s">
        <v>9</v>
      </c>
      <c r="C12" s="15">
        <f t="shared" si="0"/>
        <v>119928</v>
      </c>
      <c r="D12" s="15">
        <v>9994</v>
      </c>
    </row>
    <row r="13" spans="1:4" x14ac:dyDescent="0.25">
      <c r="A13" s="13">
        <v>11</v>
      </c>
      <c r="B13" s="16" t="s">
        <v>8</v>
      </c>
      <c r="C13" s="17">
        <f t="shared" si="0"/>
        <v>119928</v>
      </c>
      <c r="D13" s="17">
        <v>9994</v>
      </c>
    </row>
    <row r="14" spans="1:4" ht="25.5" x14ac:dyDescent="0.25">
      <c r="A14" s="13">
        <v>12</v>
      </c>
      <c r="B14" s="16" t="s">
        <v>7</v>
      </c>
      <c r="C14" s="15">
        <f t="shared" si="0"/>
        <v>61488</v>
      </c>
      <c r="D14" s="15">
        <v>5124</v>
      </c>
    </row>
    <row r="15" spans="1:4" ht="25.5" x14ac:dyDescent="0.25">
      <c r="A15" s="13">
        <v>13</v>
      </c>
      <c r="B15" s="16" t="s">
        <v>6</v>
      </c>
      <c r="C15" s="15">
        <f t="shared" si="0"/>
        <v>157920</v>
      </c>
      <c r="D15" s="15">
        <v>13160</v>
      </c>
    </row>
    <row r="16" spans="1:4" ht="25.5" x14ac:dyDescent="0.25">
      <c r="A16" s="13">
        <v>14</v>
      </c>
      <c r="B16" s="16" t="s">
        <v>61</v>
      </c>
      <c r="C16" s="15">
        <f t="shared" si="0"/>
        <v>193008</v>
      </c>
      <c r="D16" s="15">
        <v>16084</v>
      </c>
    </row>
    <row r="17" spans="1:4" x14ac:dyDescent="0.25">
      <c r="A17" s="13">
        <v>15</v>
      </c>
      <c r="B17" s="16" t="s">
        <v>4</v>
      </c>
      <c r="C17" s="15">
        <f t="shared" si="0"/>
        <v>84012</v>
      </c>
      <c r="D17" s="15">
        <v>7001</v>
      </c>
    </row>
    <row r="18" spans="1:4" ht="23.25" customHeight="1" x14ac:dyDescent="0.25">
      <c r="A18" s="13">
        <v>16</v>
      </c>
      <c r="B18" s="16" t="s">
        <v>60</v>
      </c>
      <c r="C18" s="15">
        <f t="shared" si="0"/>
        <v>246972</v>
      </c>
      <c r="D18" s="15">
        <v>20581</v>
      </c>
    </row>
    <row r="19" spans="1:4" x14ac:dyDescent="0.25">
      <c r="A19" s="13">
        <v>17</v>
      </c>
      <c r="B19" s="16" t="s">
        <v>2</v>
      </c>
      <c r="C19" s="15">
        <f t="shared" si="0"/>
        <v>104640</v>
      </c>
      <c r="D19" s="15">
        <v>8720</v>
      </c>
    </row>
    <row r="20" spans="1:4" ht="21" customHeight="1" x14ac:dyDescent="0.25">
      <c r="A20" s="13">
        <v>18</v>
      </c>
      <c r="B20" s="16" t="s">
        <v>1</v>
      </c>
      <c r="C20" s="15">
        <f t="shared" si="0"/>
        <v>56340</v>
      </c>
      <c r="D20" s="15">
        <v>4695</v>
      </c>
    </row>
    <row r="21" spans="1:4" x14ac:dyDescent="0.25">
      <c r="A21" s="13"/>
      <c r="B21" s="12" t="s">
        <v>0</v>
      </c>
      <c r="C21" s="11">
        <f>SUM(C3:C20)</f>
        <v>2865288</v>
      </c>
      <c r="D21" s="11"/>
    </row>
    <row r="22" spans="1:4" x14ac:dyDescent="0.25">
      <c r="C22" s="7">
        <v>2865300</v>
      </c>
      <c r="D22" s="7"/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8"/>
  <sheetViews>
    <sheetView workbookViewId="0">
      <selection activeCell="D8" sqref="D8"/>
    </sheetView>
  </sheetViews>
  <sheetFormatPr defaultRowHeight="15" x14ac:dyDescent="0.25"/>
  <cols>
    <col min="2" max="2" width="12" customWidth="1"/>
    <col min="3" max="3" width="61.42578125" customWidth="1"/>
    <col min="4" max="4" width="12.5703125" customWidth="1"/>
  </cols>
  <sheetData>
    <row r="3" spans="2:5" x14ac:dyDescent="0.25">
      <c r="C3" t="s">
        <v>64</v>
      </c>
    </row>
    <row r="4" spans="2:5" ht="26.25" thickBot="1" x14ac:dyDescent="0.3">
      <c r="B4" s="13" t="s">
        <v>45</v>
      </c>
      <c r="C4" s="19" t="s">
        <v>44</v>
      </c>
      <c r="D4" s="74" t="s">
        <v>43</v>
      </c>
      <c r="E4" s="74" t="s">
        <v>42</v>
      </c>
    </row>
    <row r="5" spans="2:5" ht="15.75" thickBot="1" x14ac:dyDescent="0.3">
      <c r="B5" s="67" t="s">
        <v>70</v>
      </c>
      <c r="C5" s="68" t="s">
        <v>71</v>
      </c>
      <c r="D5" s="69">
        <f>E5*12</f>
        <v>21552</v>
      </c>
      <c r="E5" s="69">
        <v>1796</v>
      </c>
    </row>
    <row r="6" spans="2:5" ht="15.75" thickBot="1" x14ac:dyDescent="0.3">
      <c r="B6" s="70" t="s">
        <v>72</v>
      </c>
      <c r="C6" s="71" t="s">
        <v>73</v>
      </c>
      <c r="D6" s="73">
        <f>E6*12</f>
        <v>24288</v>
      </c>
      <c r="E6" s="69">
        <v>2024</v>
      </c>
    </row>
    <row r="7" spans="2:5" ht="15.75" thickBot="1" x14ac:dyDescent="0.3">
      <c r="B7" s="70" t="s">
        <v>74</v>
      </c>
      <c r="C7" s="71" t="s">
        <v>75</v>
      </c>
      <c r="D7" s="73">
        <f>E7*12</f>
        <v>24264</v>
      </c>
      <c r="E7" s="69">
        <v>2022</v>
      </c>
    </row>
    <row r="8" spans="2:5" x14ac:dyDescent="0.25">
      <c r="D8">
        <f>D5+D6+D7</f>
        <v>70104</v>
      </c>
    </row>
  </sheetData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1"/>
  <sheetViews>
    <sheetView workbookViewId="0">
      <selection activeCell="D15" sqref="D15"/>
    </sheetView>
  </sheetViews>
  <sheetFormatPr defaultColWidth="27.28515625" defaultRowHeight="15" x14ac:dyDescent="0.25"/>
  <cols>
    <col min="1" max="1" width="10.85546875" customWidth="1"/>
    <col min="2" max="2" width="47.28515625" customWidth="1"/>
    <col min="3" max="3" width="24" customWidth="1"/>
  </cols>
  <sheetData>
    <row r="4" spans="1:4" ht="15.75" thickBot="1" x14ac:dyDescent="0.3"/>
    <row r="5" spans="1:4" x14ac:dyDescent="0.25">
      <c r="A5" s="76" t="s">
        <v>76</v>
      </c>
      <c r="B5" s="77"/>
      <c r="C5" s="80" t="s">
        <v>83</v>
      </c>
      <c r="D5" s="75" t="s">
        <v>42</v>
      </c>
    </row>
    <row r="6" spans="1:4" ht="15.75" thickBot="1" x14ac:dyDescent="0.3">
      <c r="A6" s="78"/>
      <c r="B6" s="79"/>
      <c r="C6" s="81"/>
      <c r="D6" s="73" t="s">
        <v>77</v>
      </c>
    </row>
    <row r="7" spans="1:4" ht="30.75" thickBot="1" x14ac:dyDescent="0.3">
      <c r="A7" s="70" t="s">
        <v>70</v>
      </c>
      <c r="B7" s="71" t="s">
        <v>78</v>
      </c>
      <c r="C7" s="73">
        <f>D7*12</f>
        <v>236040</v>
      </c>
      <c r="D7" s="72">
        <v>19670</v>
      </c>
    </row>
    <row r="8" spans="1:4" ht="30.75" thickBot="1" x14ac:dyDescent="0.3">
      <c r="A8" s="70" t="s">
        <v>72</v>
      </c>
      <c r="B8" s="71" t="s">
        <v>73</v>
      </c>
      <c r="C8" s="73">
        <f>D8*12</f>
        <v>159840</v>
      </c>
      <c r="D8" s="72">
        <v>13320</v>
      </c>
    </row>
    <row r="9" spans="1:4" ht="30.75" thickBot="1" x14ac:dyDescent="0.3">
      <c r="A9" s="70" t="s">
        <v>79</v>
      </c>
      <c r="B9" s="71" t="s">
        <v>80</v>
      </c>
      <c r="C9" s="73">
        <f>D9*12</f>
        <v>137880</v>
      </c>
      <c r="D9" s="73">
        <v>11490</v>
      </c>
    </row>
    <row r="10" spans="1:4" ht="30.75" thickBot="1" x14ac:dyDescent="0.3">
      <c r="A10" s="70" t="s">
        <v>81</v>
      </c>
      <c r="B10" s="71" t="s">
        <v>82</v>
      </c>
      <c r="C10" s="73">
        <f>D10*12</f>
        <v>128520</v>
      </c>
      <c r="D10" s="72">
        <v>10710</v>
      </c>
    </row>
    <row r="11" spans="1:4" x14ac:dyDescent="0.25">
      <c r="C11" s="82">
        <f>C7+C8+C9+C10</f>
        <v>662280</v>
      </c>
    </row>
  </sheetData>
  <mergeCells count="2">
    <mergeCell ref="A5:B6"/>
    <mergeCell ref="C5:C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9"/>
  <sheetViews>
    <sheetView workbookViewId="0">
      <selection activeCell="F14" sqref="F14"/>
    </sheetView>
  </sheetViews>
  <sheetFormatPr defaultRowHeight="15" x14ac:dyDescent="0.25"/>
  <cols>
    <col min="2" max="2" width="13.7109375" customWidth="1"/>
    <col min="3" max="4" width="30.42578125" customWidth="1"/>
  </cols>
  <sheetData>
    <row r="4" spans="2:5" ht="15.75" thickBot="1" x14ac:dyDescent="0.3"/>
    <row r="5" spans="2:5" ht="59.25" customHeight="1" x14ac:dyDescent="0.25">
      <c r="B5" s="76" t="s">
        <v>84</v>
      </c>
      <c r="C5" s="77"/>
      <c r="D5" s="80" t="s">
        <v>83</v>
      </c>
      <c r="E5" s="75" t="s">
        <v>42</v>
      </c>
    </row>
    <row r="6" spans="2:5" ht="15.75" thickBot="1" x14ac:dyDescent="0.3">
      <c r="B6" s="78"/>
      <c r="C6" s="79"/>
      <c r="D6" s="81"/>
      <c r="E6" s="73" t="s">
        <v>77</v>
      </c>
    </row>
    <row r="7" spans="2:5" ht="30.75" thickBot="1" x14ac:dyDescent="0.3">
      <c r="B7" s="83" t="s">
        <v>70</v>
      </c>
      <c r="C7" s="71" t="s">
        <v>85</v>
      </c>
      <c r="D7" s="73">
        <f>E7*12</f>
        <v>154800</v>
      </c>
      <c r="E7" s="72">
        <v>12900</v>
      </c>
    </row>
    <row r="8" spans="2:5" ht="45.75" thickBot="1" x14ac:dyDescent="0.3">
      <c r="B8" s="83" t="s">
        <v>70</v>
      </c>
      <c r="C8" s="73" t="s">
        <v>86</v>
      </c>
      <c r="D8" s="73">
        <f>E8*12</f>
        <v>77400</v>
      </c>
      <c r="E8" s="72">
        <v>6450</v>
      </c>
    </row>
    <row r="9" spans="2:5" x14ac:dyDescent="0.25">
      <c r="D9">
        <f>D7+D8</f>
        <v>232200</v>
      </c>
    </row>
  </sheetData>
  <mergeCells count="2">
    <mergeCell ref="B5:C6"/>
    <mergeCell ref="D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5"/>
  <sheetViews>
    <sheetView tabSelected="1" workbookViewId="0">
      <selection activeCell="E15" sqref="E15"/>
    </sheetView>
  </sheetViews>
  <sheetFormatPr defaultRowHeight="15" x14ac:dyDescent="0.25"/>
  <cols>
    <col min="2" max="2" width="86.7109375" customWidth="1"/>
    <col min="3" max="3" width="14" bestFit="1" customWidth="1"/>
  </cols>
  <sheetData>
    <row r="4" spans="2:3" ht="15.75" x14ac:dyDescent="0.25">
      <c r="B4" s="64" t="s">
        <v>62</v>
      </c>
      <c r="C4" s="66">
        <v>16000000</v>
      </c>
    </row>
    <row r="5" spans="2:3" x14ac:dyDescent="0.25">
      <c r="B5" s="65" t="s">
        <v>63</v>
      </c>
      <c r="C5" s="66">
        <v>2865300</v>
      </c>
    </row>
    <row r="6" spans="2:3" x14ac:dyDescent="0.25">
      <c r="B6" s="65" t="s">
        <v>64</v>
      </c>
      <c r="C6" s="66">
        <v>70100</v>
      </c>
    </row>
    <row r="7" spans="2:3" x14ac:dyDescent="0.25">
      <c r="B7" s="65" t="s">
        <v>65</v>
      </c>
      <c r="C7" s="66">
        <v>151000</v>
      </c>
    </row>
    <row r="8" spans="2:3" x14ac:dyDescent="0.25">
      <c r="B8" s="65" t="s">
        <v>66</v>
      </c>
      <c r="C8" s="66">
        <v>662300</v>
      </c>
    </row>
    <row r="9" spans="2:3" x14ac:dyDescent="0.25">
      <c r="B9" s="65" t="s">
        <v>67</v>
      </c>
      <c r="C9" s="66">
        <v>232200</v>
      </c>
    </row>
    <row r="10" spans="2:3" x14ac:dyDescent="0.25">
      <c r="B10" s="65" t="s">
        <v>68</v>
      </c>
      <c r="C10" s="66">
        <v>9979100</v>
      </c>
    </row>
    <row r="11" spans="2:3" x14ac:dyDescent="0.25">
      <c r="B11" s="65" t="s">
        <v>69</v>
      </c>
      <c r="C11" s="66">
        <v>540000</v>
      </c>
    </row>
    <row r="12" spans="2:3" x14ac:dyDescent="0.25">
      <c r="B12" s="65" t="s">
        <v>25</v>
      </c>
      <c r="C12" s="66">
        <v>1500000</v>
      </c>
    </row>
    <row r="13" spans="2:3" x14ac:dyDescent="0.25">
      <c r="C13" s="84">
        <f>C5+C6+C7+C8+C9+C10+C11+C12</f>
        <v>16000000</v>
      </c>
    </row>
    <row r="14" spans="2:3" x14ac:dyDescent="0.25">
      <c r="C14" s="84"/>
    </row>
    <row r="15" spans="2:3" x14ac:dyDescent="0.25">
      <c r="C15" s="84">
        <f>C4-C13</f>
        <v>0</v>
      </c>
    </row>
  </sheetData>
  <pageMargins left="0.7" right="0.7" top="0.75" bottom="0.75" header="0.3" footer="0.3"/>
  <pageSetup paperSize="9" orientation="landscape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E17" sqref="E17"/>
    </sheetView>
  </sheetViews>
  <sheetFormatPr defaultRowHeight="15" x14ac:dyDescent="0.25"/>
  <cols>
    <col min="1" max="1" width="68.28515625" customWidth="1"/>
    <col min="2" max="2" width="17.85546875" bestFit="1" customWidth="1"/>
    <col min="3" max="3" width="16.5703125" bestFit="1" customWidth="1"/>
    <col min="4" max="4" width="17.5703125" customWidth="1"/>
    <col min="5" max="5" width="16" bestFit="1" customWidth="1"/>
    <col min="6" max="7" width="18.85546875" style="105" bestFit="1" customWidth="1"/>
  </cols>
  <sheetData>
    <row r="1" spans="1:7" ht="45" x14ac:dyDescent="0.25">
      <c r="B1" s="85" t="s">
        <v>87</v>
      </c>
      <c r="C1" s="85" t="s">
        <v>88</v>
      </c>
      <c r="D1" s="85" t="s">
        <v>89</v>
      </c>
      <c r="E1" s="85">
        <v>18</v>
      </c>
      <c r="F1" s="85">
        <v>19</v>
      </c>
      <c r="G1" s="85">
        <v>20</v>
      </c>
    </row>
    <row r="2" spans="1:7" x14ac:dyDescent="0.25">
      <c r="A2" s="86" t="s">
        <v>17</v>
      </c>
      <c r="B2" s="87">
        <v>85</v>
      </c>
      <c r="C2" s="87">
        <v>53</v>
      </c>
      <c r="D2" s="87">
        <v>30.5</v>
      </c>
      <c r="E2" s="88">
        <f>B2*$E$1*$D$2</f>
        <v>46665</v>
      </c>
      <c r="F2" s="89">
        <f>B2*$F$1*$D$2</f>
        <v>49257.5</v>
      </c>
      <c r="G2" s="89">
        <f>B2*$G$1*$D$2</f>
        <v>51850</v>
      </c>
    </row>
    <row r="3" spans="1:7" x14ac:dyDescent="0.25">
      <c r="A3" s="86" t="s">
        <v>90</v>
      </c>
      <c r="B3" s="90">
        <v>30</v>
      </c>
      <c r="C3" s="87">
        <v>50</v>
      </c>
      <c r="D3" s="87"/>
      <c r="E3" s="88">
        <f>B3*$E$1*$D$2</f>
        <v>16470</v>
      </c>
      <c r="F3" s="89">
        <f>B3*$F$1*$D$2</f>
        <v>17385</v>
      </c>
      <c r="G3" s="89">
        <f t="shared" ref="G3:G13" si="0">B3*$G$1*$D$2</f>
        <v>18300</v>
      </c>
    </row>
    <row r="4" spans="1:7" x14ac:dyDescent="0.25">
      <c r="A4" s="86" t="s">
        <v>91</v>
      </c>
      <c r="B4" s="90">
        <v>145</v>
      </c>
      <c r="C4" s="87">
        <v>9</v>
      </c>
      <c r="D4" s="87"/>
      <c r="E4" s="88">
        <f>B4*$E$1*$D$2</f>
        <v>79605</v>
      </c>
      <c r="F4" s="89">
        <f>B4*$F$1*$D$2</f>
        <v>84027.5</v>
      </c>
      <c r="G4" s="89">
        <f t="shared" si="0"/>
        <v>88450</v>
      </c>
    </row>
    <row r="5" spans="1:7" x14ac:dyDescent="0.25">
      <c r="A5" s="86" t="s">
        <v>12</v>
      </c>
      <c r="B5" s="90">
        <v>30</v>
      </c>
      <c r="C5" s="87">
        <v>37</v>
      </c>
      <c r="D5" s="87"/>
      <c r="E5" s="88">
        <f t="shared" ref="E5:E10" si="1">B5*$E$1*$D$2</f>
        <v>16470</v>
      </c>
      <c r="F5" s="89">
        <f>B5*$F$1*$D$2</f>
        <v>17385</v>
      </c>
      <c r="G5" s="89">
        <f t="shared" si="0"/>
        <v>18300</v>
      </c>
    </row>
    <row r="6" spans="1:7" x14ac:dyDescent="0.25">
      <c r="A6" s="86" t="s">
        <v>92</v>
      </c>
      <c r="B6" s="90">
        <v>150</v>
      </c>
      <c r="C6" s="87">
        <v>20</v>
      </c>
      <c r="D6" s="87"/>
      <c r="E6" s="88">
        <f>B6*$E$1*$D$2</f>
        <v>82350</v>
      </c>
      <c r="F6" s="89">
        <f t="shared" ref="F6:F13" si="2">B6*$F$1*$D$2</f>
        <v>86925</v>
      </c>
      <c r="G6" s="89">
        <f t="shared" si="0"/>
        <v>91500</v>
      </c>
    </row>
    <row r="7" spans="1:7" x14ac:dyDescent="0.25">
      <c r="A7" s="86" t="s">
        <v>93</v>
      </c>
      <c r="B7" s="90">
        <v>225</v>
      </c>
      <c r="C7" s="87">
        <v>20</v>
      </c>
      <c r="D7" s="87"/>
      <c r="E7" s="88">
        <f>B7*$E$1*$D$2</f>
        <v>123525</v>
      </c>
      <c r="F7" s="89">
        <f t="shared" si="2"/>
        <v>130387.5</v>
      </c>
      <c r="G7" s="89">
        <f t="shared" si="0"/>
        <v>137250</v>
      </c>
    </row>
    <row r="8" spans="1:7" x14ac:dyDescent="0.25">
      <c r="A8" s="86" t="s">
        <v>94</v>
      </c>
      <c r="B8" s="90">
        <v>30</v>
      </c>
      <c r="C8" s="87">
        <v>84</v>
      </c>
      <c r="D8" s="87"/>
      <c r="E8" s="88">
        <f>B8*$E$1*$D$2</f>
        <v>16470</v>
      </c>
      <c r="F8" s="89">
        <f t="shared" si="2"/>
        <v>17385</v>
      </c>
      <c r="G8" s="89">
        <f t="shared" si="0"/>
        <v>18300</v>
      </c>
    </row>
    <row r="9" spans="1:7" x14ac:dyDescent="0.25">
      <c r="A9" s="86" t="s">
        <v>95</v>
      </c>
      <c r="B9" s="90">
        <v>30</v>
      </c>
      <c r="C9" s="87">
        <v>60</v>
      </c>
      <c r="D9" s="87"/>
      <c r="E9" s="88">
        <f>B9*$E$1*$D$2</f>
        <v>16470</v>
      </c>
      <c r="F9" s="89">
        <f t="shared" si="2"/>
        <v>17385</v>
      </c>
      <c r="G9" s="89">
        <f t="shared" si="0"/>
        <v>18300</v>
      </c>
    </row>
    <row r="10" spans="1:7" x14ac:dyDescent="0.25">
      <c r="A10" s="86" t="s">
        <v>96</v>
      </c>
      <c r="B10" s="90">
        <v>25</v>
      </c>
      <c r="C10" s="87">
        <v>62</v>
      </c>
      <c r="D10" s="87"/>
      <c r="E10" s="88">
        <f t="shared" si="1"/>
        <v>13725</v>
      </c>
      <c r="F10" s="89">
        <f t="shared" si="2"/>
        <v>14487.5</v>
      </c>
      <c r="G10" s="89">
        <f t="shared" si="0"/>
        <v>15250</v>
      </c>
    </row>
    <row r="11" spans="1:7" x14ac:dyDescent="0.25">
      <c r="A11" s="86" t="s">
        <v>10</v>
      </c>
      <c r="B11" s="90">
        <v>640</v>
      </c>
      <c r="C11" s="87">
        <v>14</v>
      </c>
      <c r="D11" s="87"/>
      <c r="E11" s="88">
        <f>B11*$E$1*$D$2</f>
        <v>351360</v>
      </c>
      <c r="F11" s="89">
        <f t="shared" si="2"/>
        <v>370880</v>
      </c>
      <c r="G11" s="89">
        <f t="shared" si="0"/>
        <v>390400</v>
      </c>
    </row>
    <row r="12" spans="1:7" x14ac:dyDescent="0.25">
      <c r="A12" s="86" t="s">
        <v>97</v>
      </c>
      <c r="B12" s="90">
        <v>15</v>
      </c>
      <c r="C12" s="87">
        <v>26</v>
      </c>
      <c r="D12" s="87"/>
      <c r="E12" s="88">
        <f>B12*$E$1*$D$2</f>
        <v>8235</v>
      </c>
      <c r="F12" s="89">
        <f t="shared" si="2"/>
        <v>8692.5</v>
      </c>
      <c r="G12" s="89">
        <f t="shared" si="0"/>
        <v>9150</v>
      </c>
    </row>
    <row r="13" spans="1:7" x14ac:dyDescent="0.25">
      <c r="A13" s="86" t="s">
        <v>98</v>
      </c>
      <c r="B13" s="90">
        <v>100</v>
      </c>
      <c r="C13" s="87">
        <v>15</v>
      </c>
      <c r="D13" s="87"/>
      <c r="E13" s="88">
        <f>B13*$E$1*$D$2</f>
        <v>54900</v>
      </c>
      <c r="F13" s="89">
        <f t="shared" si="2"/>
        <v>57950</v>
      </c>
      <c r="G13" s="89">
        <f t="shared" si="0"/>
        <v>61000</v>
      </c>
    </row>
    <row r="14" spans="1:7" ht="18.75" x14ac:dyDescent="0.25">
      <c r="A14" s="86" t="s">
        <v>99</v>
      </c>
      <c r="B14" s="91">
        <f>SUM(B2:B13)</f>
        <v>1505</v>
      </c>
      <c r="C14" s="92">
        <f>AVERAGE(C2:C13)</f>
        <v>37.5</v>
      </c>
      <c r="D14" s="87"/>
      <c r="E14" s="88"/>
      <c r="F14" s="89"/>
      <c r="G14" s="89"/>
    </row>
    <row r="15" spans="1:7" ht="15.75" x14ac:dyDescent="0.25">
      <c r="A15" s="93" t="s">
        <v>100</v>
      </c>
      <c r="B15" s="94"/>
      <c r="C15" s="91"/>
      <c r="D15" s="91"/>
      <c r="E15" s="95">
        <f>SUM(E2:E13)</f>
        <v>826245</v>
      </c>
      <c r="F15" s="96">
        <f>SUM(F2:F13)</f>
        <v>872147.5</v>
      </c>
      <c r="G15" s="97">
        <f>SUM(G2:G13)</f>
        <v>918050</v>
      </c>
    </row>
    <row r="16" spans="1:7" ht="15.75" x14ac:dyDescent="0.25">
      <c r="A16" s="98" t="s">
        <v>101</v>
      </c>
      <c r="B16" s="99"/>
      <c r="C16" s="99"/>
      <c r="D16" s="99"/>
      <c r="E16" s="100">
        <f>E15*6</f>
        <v>4957470</v>
      </c>
      <c r="F16" s="101">
        <f>F15*6</f>
        <v>5232885</v>
      </c>
      <c r="G16" s="101">
        <f>G15*6</f>
        <v>5508300</v>
      </c>
    </row>
    <row r="17" spans="1:7" x14ac:dyDescent="0.25">
      <c r="E17" s="66">
        <f>E15*12</f>
        <v>9914940</v>
      </c>
      <c r="F17" s="114">
        <f>F15*12</f>
        <v>10465770</v>
      </c>
      <c r="G17" s="114">
        <f>G15*12</f>
        <v>11016600</v>
      </c>
    </row>
    <row r="19" spans="1:7" x14ac:dyDescent="0.25">
      <c r="A19" s="102" t="s">
        <v>102</v>
      </c>
      <c r="B19" s="103" t="s">
        <v>103</v>
      </c>
      <c r="C19" s="104" t="s">
        <v>104</v>
      </c>
      <c r="D19" s="103" t="s">
        <v>105</v>
      </c>
    </row>
    <row r="20" spans="1:7" x14ac:dyDescent="0.25">
      <c r="A20" s="106" t="s">
        <v>106</v>
      </c>
      <c r="B20" s="107">
        <v>10481600</v>
      </c>
      <c r="C20" s="107">
        <v>10481600</v>
      </c>
      <c r="D20" s="107">
        <v>10481600</v>
      </c>
    </row>
    <row r="21" spans="1:7" x14ac:dyDescent="0.25">
      <c r="A21" s="106" t="s">
        <v>107</v>
      </c>
      <c r="B21" s="107">
        <v>4805108.4800000004</v>
      </c>
      <c r="C21" s="107">
        <v>4805108.4800000004</v>
      </c>
      <c r="D21" s="107">
        <v>4805108.4800000004</v>
      </c>
    </row>
    <row r="22" spans="1:7" x14ac:dyDescent="0.25">
      <c r="A22" s="106" t="s">
        <v>108</v>
      </c>
      <c r="B22" s="108">
        <v>950950</v>
      </c>
      <c r="C22" s="107">
        <v>950950</v>
      </c>
      <c r="D22" s="108">
        <v>950950</v>
      </c>
      <c r="G22" s="109"/>
    </row>
    <row r="23" spans="1:7" x14ac:dyDescent="0.25">
      <c r="A23" s="106" t="s">
        <v>109</v>
      </c>
      <c r="B23" s="108">
        <f>B20-B21-B22</f>
        <v>4725541.5199999996</v>
      </c>
      <c r="C23" s="107">
        <f>C20-C21-C22</f>
        <v>4725541.5199999996</v>
      </c>
      <c r="D23" s="108">
        <f>D20-D21-D22</f>
        <v>4725541.5199999996</v>
      </c>
    </row>
    <row r="24" spans="1:7" x14ac:dyDescent="0.25">
      <c r="A24" s="110" t="s">
        <v>110</v>
      </c>
      <c r="B24" s="108">
        <f>E16</f>
        <v>4957470</v>
      </c>
      <c r="C24" s="107">
        <f>F16</f>
        <v>5232885</v>
      </c>
      <c r="D24" s="108">
        <f>G16</f>
        <v>5508300</v>
      </c>
    </row>
    <row r="25" spans="1:7" x14ac:dyDescent="0.25">
      <c r="A25" s="106" t="s">
        <v>111</v>
      </c>
      <c r="B25" s="111">
        <f>B23-B24</f>
        <v>-231928.48000000045</v>
      </c>
      <c r="C25" s="112">
        <f>C23-C24</f>
        <v>-507343.48000000045</v>
      </c>
      <c r="D25" s="111">
        <f>D23-D24</f>
        <v>-782758.48000000045</v>
      </c>
    </row>
    <row r="27" spans="1:7" x14ac:dyDescent="0.25">
      <c r="B27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ფსიქიატრია ამბ</vt:lpstr>
      <vt:lpstr>ამბულატორია</vt:lpstr>
      <vt:lpstr>ფსიქოსოციალური</vt:lpstr>
      <vt:lpstr>კრიზისული</vt:lpstr>
      <vt:lpstr>თემზე დაფუძნებ. მობილ</vt:lpstr>
      <vt:lpstr>ბიუჯეტი 2017</vt:lpstr>
      <vt:lpstr>სტაციონარი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smorgoshia</dc:creator>
  <cp:lastModifiedBy>Ekaterine Adamia</cp:lastModifiedBy>
  <cp:lastPrinted>2016-12-01T16:06:33Z</cp:lastPrinted>
  <dcterms:created xsi:type="dcterms:W3CDTF">2016-05-18T13:24:17Z</dcterms:created>
  <dcterms:modified xsi:type="dcterms:W3CDTF">2016-12-01T16:21:47Z</dcterms:modified>
</cp:coreProperties>
</file>